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270" windowWidth="10080" windowHeight="65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<sst xmlns="http://schemas.openxmlformats.org/spreadsheetml/2006/main" count="77" uniqueCount="62">
  <si>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Min/Stück</t>
  </si>
  <si>
    <t>Auswahlentscheidung</t>
  </si>
  <si>
    <t>Bestellung</t>
  </si>
  <si>
    <t>Zugangsbearbeitung</t>
  </si>
  <si>
    <t>Technische Bearbeitung</t>
  </si>
  <si>
    <t>Schlußkontrolle</t>
  </si>
  <si>
    <t>Reparaturen</t>
  </si>
  <si>
    <t>Rückordnen Nahbereich</t>
  </si>
  <si>
    <t>Rückordnen Mittelbereich</t>
  </si>
  <si>
    <t>Mahnungen Benutzer</t>
  </si>
  <si>
    <t>Fernleihe aktiv</t>
  </si>
  <si>
    <t>Fernleihe passiv</t>
  </si>
  <si>
    <t>Interner Leihverkehr, gebend</t>
  </si>
  <si>
    <t>Interner Leihverkehr nehmend</t>
  </si>
  <si>
    <t>Katalogkarteneinstellen</t>
  </si>
  <si>
    <t>Vergleichsring Bayern (19 Bibl.)</t>
  </si>
  <si>
    <t>Gewichteter
Durchschnitt</t>
  </si>
  <si>
    <t>Tätigkeiten Fachangest. im Zugang</t>
  </si>
  <si>
    <t>Stunden/Jahr</t>
  </si>
  <si>
    <t>Anzahl Fälle</t>
  </si>
  <si>
    <t>Bearbeitung der Neuzugänge</t>
  </si>
  <si>
    <t>Löschungen</t>
  </si>
  <si>
    <t>Bestandsnutzung (Rückordnen, Reparieren, Mahnen u.a.)</t>
  </si>
  <si>
    <t>Zwischensumme 1</t>
  </si>
  <si>
    <t>Zwischensumme 2 = Summe indirekte Dienstleistungen</t>
  </si>
  <si>
    <t>Auskunftsplätze</t>
  </si>
  <si>
    <t>Zwischensumme 3 = Summe direkte Dienstleistungen</t>
  </si>
  <si>
    <t>Erforderliche Arbeitskapazität in Stden/Jahr</t>
  </si>
  <si>
    <t>Bestandsnutzung (ohne Thekendienst)</t>
  </si>
  <si>
    <t>Arbeitskapazität
in Stunden</t>
  </si>
  <si>
    <t>Schlechtester
Wert</t>
  </si>
  <si>
    <t>Bester
Wert</t>
  </si>
  <si>
    <t>Erforderliche Arbeitskapazität in Vollzeitstellen bei 40-Stundenwoche</t>
  </si>
  <si>
    <t>Öffnungsstunden pro Woche</t>
  </si>
  <si>
    <t>Koordination, Planung, Finanzen</t>
  </si>
  <si>
    <t xml:space="preserve">Verwaltung, EDV </t>
  </si>
  <si>
    <t>Personalmanagement</t>
  </si>
  <si>
    <t>Öffentlichkeitsarbeit</t>
  </si>
  <si>
    <t>Lektorierung</t>
  </si>
  <si>
    <t>Löschung</t>
  </si>
  <si>
    <t>Nur in die roten Zellen dürfen Zahlen eingesetzt werden!</t>
  </si>
  <si>
    <t>Klassifikation oder Beschlagwortung</t>
  </si>
  <si>
    <t>Katalogisierung / Fremddatenübernahme</t>
  </si>
  <si>
    <t>Fortsetzungslieferung</t>
  </si>
  <si>
    <t>Neuzugang insgesamt</t>
  </si>
  <si>
    <t>Bayern 
Ring 8 Bibl.</t>
  </si>
  <si>
    <t>Bayern 
Ring 11 Bibl.</t>
  </si>
  <si>
    <t>Lieferantenmahnung/-reklamation</t>
  </si>
  <si>
    <t>Bertelsmann Betriebsvergleich (17 Bibl.)</t>
  </si>
  <si>
    <t>Vergleichsring Düsseldorf (11 Bibl.)</t>
  </si>
  <si>
    <t>Minuten/Fall</t>
  </si>
  <si>
    <t>Prozent von Zwischen-
summe 1</t>
  </si>
  <si>
    <t>Anteil an
Arbeitskapazität
insgesamt</t>
  </si>
  <si>
    <t>Vergleichsring Lüneburg (8 Bibl.)</t>
  </si>
  <si>
    <t>Höherer Dienst</t>
  </si>
  <si>
    <t>Arbeitskapazität nach Gruppen</t>
  </si>
  <si>
    <t>Dipl.-Bibl.</t>
  </si>
  <si>
    <t>Fachangestellte für Medien und Informations-dienste</t>
  </si>
  <si>
    <t>Prozentanteil bzgl. Spalten C/G</t>
  </si>
  <si>
    <t>Kontrollspalte: Alle Werte müsssen 100 sein</t>
  </si>
  <si>
    <t>Erforderliche Arbeitskapazität in Vollzeitstellen bei 39-Stundenwoche</t>
  </si>
  <si>
    <t>Aufsichtsplatz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</si>
</sst>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%"/>
    <numFmt numFmtId="166" formatCode="#,##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67">
    <xf numFmtId="164" fontId="0" fillId="0" borderId="0" xfId="0" applyAlignment="1">
      <alignment/>
    </xf>
    <xf numFmtId="164" fontId="2" fillId="0" borderId="10" xfId="0" applyFont="1" applyFill="1" applyBorder="1" applyAlignment="1">
      <alignment textRotation="90"/>
    </xf>
    <xf numFmtId="164" fontId="2" fillId="33" borderId="11" xfId="0" applyFont="1" applyFill="1" applyBorder="1" applyAlignment="1">
      <alignment/>
    </xf>
    <xf numFmtId="164" fontId="2" fillId="34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4" fontId="2" fillId="0" borderId="11" xfId="0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/>
    </xf>
    <xf numFmtId="164" fontId="2" fillId="36" borderId="11" xfId="0" applyFont="1" applyFill="1" applyBorder="1" applyAlignment="1">
      <alignment/>
    </xf>
    <xf numFmtId="164" fontId="2" fillId="36" borderId="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/>
    </xf>
    <xf numFmtId="164" fontId="2" fillId="0" borderId="13" xfId="0" applyFont="1" applyBorder="1" applyAlignment="1">
      <alignment/>
    </xf>
    <xf numFmtId="3" fontId="2" fillId="0" borderId="10" xfId="0" applyNumberFormat="1" applyFont="1" applyFill="1" applyBorder="1" applyAlignment="1">
      <alignment textRotation="90" wrapText="1"/>
    </xf>
    <xf numFmtId="3" fontId="2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164" fontId="2" fillId="0" borderId="10" xfId="0" applyFont="1" applyFill="1" applyBorder="1" applyAlignment="1">
      <alignment textRotation="90" wrapText="1"/>
    </xf>
    <xf numFmtId="3" fontId="2" fillId="36" borderId="12" xfId="0" applyNumberFormat="1" applyFont="1" applyFill="1" applyBorder="1" applyAlignment="1">
      <alignment horizontal="right"/>
    </xf>
    <xf numFmtId="164" fontId="2" fillId="0" borderId="12" xfId="0" applyFont="1" applyFill="1" applyBorder="1" applyAlignment="1">
      <alignment horizontal="left"/>
    </xf>
    <xf numFmtId="164" fontId="2" fillId="0" borderId="11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11" xfId="0" applyFont="1" applyBorder="1" applyAlignment="1">
      <alignment/>
    </xf>
    <xf numFmtId="164" fontId="2" fillId="0" borderId="0" xfId="0" applyFont="1" applyAlignment="1">
      <alignment/>
    </xf>
    <xf numFmtId="164" fontId="2" fillId="0" borderId="12" xfId="0" applyFont="1" applyBorder="1" applyAlignment="1">
      <alignment/>
    </xf>
    <xf numFmtId="164" fontId="2" fillId="0" borderId="11" xfId="0" applyFont="1" applyBorder="1" applyAlignment="1">
      <alignment horizontal="right"/>
    </xf>
    <xf numFmtId="164" fontId="2" fillId="0" borderId="0" xfId="0" applyFont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textRotation="90" wrapText="1"/>
    </xf>
    <xf numFmtId="164" fontId="2" fillId="33" borderId="11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14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0" xfId="0" applyFont="1" applyBorder="1" applyAlignment="1">
      <alignment textRotation="90" wrapText="1"/>
    </xf>
    <xf numFmtId="165" fontId="2" fillId="33" borderId="11" xfId="0" applyNumberFormat="1" applyFont="1" applyFill="1" applyBorder="1" applyAlignment="1">
      <alignment/>
    </xf>
    <xf numFmtId="165" fontId="2" fillId="34" borderId="11" xfId="0" applyNumberFormat="1" applyFont="1" applyFill="1" applyBorder="1" applyAlignment="1">
      <alignment/>
    </xf>
    <xf numFmtId="164" fontId="2" fillId="35" borderId="11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166" fontId="2" fillId="35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 textRotation="90" wrapText="1"/>
    </xf>
    <xf numFmtId="164" fontId="2" fillId="0" borderId="11" xfId="0" applyFont="1" applyFill="1" applyBorder="1" applyAlignment="1">
      <alignment horizontal="center" textRotation="90" wrapText="1"/>
    </xf>
    <xf numFmtId="10" fontId="2" fillId="0" borderId="11" xfId="0" applyNumberFormat="1" applyFont="1" applyFill="1" applyBorder="1" applyAlignment="1">
      <alignment/>
    </xf>
    <xf numFmtId="164" fontId="2" fillId="37" borderId="16" xfId="0" applyFont="1" applyFill="1" applyBorder="1" applyAlignment="1">
      <alignment horizontal="right" wrapText="1"/>
    </xf>
    <xf numFmtId="164" fontId="2" fillId="0" borderId="11" xfId="0" applyFont="1" applyBorder="1" applyAlignment="1">
      <alignment horizontal="center" vertical="center"/>
    </xf>
    <xf numFmtId="164" fontId="2" fillId="33" borderId="17" xfId="0" applyFont="1" applyFill="1" applyBorder="1" applyAlignment="1">
      <alignment/>
    </xf>
    <xf numFmtId="164" fontId="2" fillId="0" borderId="18" xfId="0" applyFont="1" applyBorder="1" applyAlignment="1">
      <alignment/>
    </xf>
    <xf numFmtId="164" fontId="2" fillId="34" borderId="17" xfId="0" applyFont="1" applyFill="1" applyBorder="1" applyAlignment="1">
      <alignment/>
    </xf>
    <xf numFmtId="164" fontId="2" fillId="0" borderId="11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textRotation="90" wrapText="1"/>
    </xf>
    <xf numFmtId="164" fontId="2" fillId="0" borderId="11" xfId="0" applyFont="1" applyBorder="1" applyAlignment="1">
      <alignment horizontal="center" textRotation="90" wrapText="1"/>
    </xf>
    <xf numFmtId="164" fontId="2" fillId="0" borderId="17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35" borderId="17" xfId="0" applyFont="1" applyFill="1" applyBorder="1" applyAlignment="1">
      <alignment/>
    </xf>
    <xf numFmtId="164" fontId="2" fillId="0" borderId="19" xfId="0" applyFont="1" applyBorder="1" applyAlignment="1">
      <alignment/>
    </xf>
    <xf numFmtId="164" fontId="2" fillId="0" borderId="17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left" textRotation="90"/>
    </xf>
    <xf numFmtId="164" fontId="2" fillId="0" borderId="18" xfId="0" applyFont="1" applyBorder="1" applyAlignment="1">
      <alignment textRotation="90"/>
    </xf>
    <xf numFmtId="164" fontId="2" fillId="35" borderId="19" xfId="0" applyFont="1" applyFill="1" applyBorder="1" applyAlignment="1">
      <alignment/>
    </xf>
    <xf numFmtId="164" fontId="2" fillId="35" borderId="18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25">
      <selection activeCell="G47" sqref="G47"/>
    </sheetView>
  </sheetViews>
  <sheetFormatPr defaultColWidth="11.421875" defaultRowHeight="12.75"/>
  <cols>
    <col min="1" max="1" width="30.140625" style="22" customWidth="1"/>
    <col min="2" max="2" width="9.421875" style="22" customWidth="1"/>
    <col min="3" max="3" width="7.57421875" style="22" customWidth="1"/>
    <col min="4" max="4" width="6.8515625" style="35" customWidth="1"/>
    <col min="5" max="5" width="10.00390625" style="22" customWidth="1"/>
    <col min="6" max="6" width="7.57421875" style="22" customWidth="1"/>
    <col min="7" max="7" width="11.7109375" style="22" customWidth="1"/>
    <col min="8" max="8" width="10.57421875" style="22" customWidth="1"/>
    <col min="9" max="9" width="7.57421875" style="22" customWidth="1"/>
    <col min="10" max="10" width="5.7109375" style="22" customWidth="1"/>
    <col min="11" max="11" width="10.57421875" style="22" customWidth="1"/>
    <col min="12" max="12" width="7.57421875" style="22" customWidth="1"/>
    <col min="13" max="13" width="5.7109375" style="22" customWidth="1"/>
    <col min="14" max="14" width="10.57421875" style="22" customWidth="1"/>
    <col min="15" max="16384" width="11.421875" style="22" customWidth="1"/>
  </cols>
  <sheetData>
    <row r="1" spans="1:16" s="20" customFormat="1" ht="45">
      <c r="A1" s="18"/>
      <c r="B1" s="19" t="s">
        <v>16</v>
      </c>
      <c r="C1" s="50" t="s">
        <v>15</v>
      </c>
      <c r="D1" s="50"/>
      <c r="E1" s="50"/>
      <c r="F1" s="50" t="s">
        <v>48</v>
      </c>
      <c r="G1" s="50"/>
      <c r="H1" s="50"/>
      <c r="I1" s="50" t="s">
        <v>49</v>
      </c>
      <c r="J1" s="50"/>
      <c r="K1" s="50"/>
      <c r="L1" s="57" t="s">
        <v>53</v>
      </c>
      <c r="M1" s="58"/>
      <c r="N1" s="59"/>
      <c r="O1" s="25" t="s">
        <v>45</v>
      </c>
      <c r="P1" s="25" t="s">
        <v>46</v>
      </c>
    </row>
    <row r="2" spans="1:16" s="20" customFormat="1" ht="33.75">
      <c r="A2" s="18"/>
      <c r="B2" s="18" t="s">
        <v>0</v>
      </c>
      <c r="C2" s="18" t="s">
        <v>0</v>
      </c>
      <c r="D2" s="26" t="s">
        <v>31</v>
      </c>
      <c r="E2" s="19" t="s">
        <v>30</v>
      </c>
      <c r="F2" s="18" t="s">
        <v>0</v>
      </c>
      <c r="G2" s="19" t="s">
        <v>31</v>
      </c>
      <c r="H2" s="19" t="s">
        <v>30</v>
      </c>
      <c r="I2" s="18" t="s">
        <v>0</v>
      </c>
      <c r="J2" s="19" t="s">
        <v>31</v>
      </c>
      <c r="K2" s="19" t="s">
        <v>30</v>
      </c>
      <c r="L2" s="18" t="s">
        <v>0</v>
      </c>
      <c r="M2" s="19" t="s">
        <v>31</v>
      </c>
      <c r="N2" s="19" t="s">
        <v>30</v>
      </c>
      <c r="O2" s="20" t="s">
        <v>0</v>
      </c>
      <c r="P2" s="20" t="s">
        <v>0</v>
      </c>
    </row>
    <row r="3" spans="1:16" ht="11.25">
      <c r="A3" s="21" t="s">
        <v>1</v>
      </c>
      <c r="B3" s="21">
        <f>((C3*19)+(F3*17)+(L3*8))/44</f>
        <v>4.302272727272728</v>
      </c>
      <c r="C3" s="21">
        <f aca="true" t="shared" si="0" ref="C3:C12">((O3*8)+(P3*11))/19</f>
        <v>3.878947368421053</v>
      </c>
      <c r="D3" s="27">
        <v>1</v>
      </c>
      <c r="E3" s="21">
        <v>15.1</v>
      </c>
      <c r="F3" s="21">
        <v>5.2</v>
      </c>
      <c r="G3" s="21">
        <v>1.91</v>
      </c>
      <c r="H3" s="21">
        <v>12</v>
      </c>
      <c r="I3" s="21"/>
      <c r="J3" s="21"/>
      <c r="K3" s="21"/>
      <c r="L3" s="21">
        <v>3.4</v>
      </c>
      <c r="M3" s="21"/>
      <c r="N3" s="21"/>
      <c r="O3" s="22">
        <v>5.5</v>
      </c>
      <c r="P3" s="22">
        <v>2.7</v>
      </c>
    </row>
    <row r="4" spans="1:16" ht="11.25">
      <c r="A4" s="21" t="s">
        <v>41</v>
      </c>
      <c r="B4" s="21">
        <f>((C4*19)+(F4*17)+(L4*8))/44</f>
        <v>2.5402272727272726</v>
      </c>
      <c r="C4" s="21">
        <f t="shared" si="0"/>
        <v>2.4526315789473685</v>
      </c>
      <c r="D4" s="27">
        <v>1</v>
      </c>
      <c r="E4" s="21">
        <v>4.4</v>
      </c>
      <c r="F4" s="21">
        <v>2.61</v>
      </c>
      <c r="G4" s="21">
        <v>1.41</v>
      </c>
      <c r="H4" s="21">
        <v>4.38</v>
      </c>
      <c r="I4" s="21"/>
      <c r="J4" s="21"/>
      <c r="K4" s="21"/>
      <c r="L4" s="21">
        <v>2.6</v>
      </c>
      <c r="M4" s="21"/>
      <c r="N4" s="21"/>
      <c r="O4" s="22">
        <v>2.8</v>
      </c>
      <c r="P4" s="22">
        <v>2.2</v>
      </c>
    </row>
    <row r="5" spans="1:16" ht="11.25">
      <c r="A5" s="21" t="s">
        <v>2</v>
      </c>
      <c r="B5" s="21">
        <f>((C5*19)+(F5*17)+(L5*8))/44</f>
        <v>1.6854545454545453</v>
      </c>
      <c r="C5" s="21">
        <f t="shared" si="0"/>
        <v>1.8473684210526315</v>
      </c>
      <c r="D5" s="27">
        <v>0.3</v>
      </c>
      <c r="E5" s="21">
        <v>5.5</v>
      </c>
      <c r="F5" s="21">
        <v>1.78</v>
      </c>
      <c r="G5" s="21">
        <v>0.26</v>
      </c>
      <c r="H5" s="21">
        <v>3.2</v>
      </c>
      <c r="I5" s="21"/>
      <c r="J5" s="21"/>
      <c r="K5" s="21"/>
      <c r="L5" s="21">
        <v>1.1</v>
      </c>
      <c r="M5" s="21"/>
      <c r="N5" s="21"/>
      <c r="O5" s="22">
        <v>1.5</v>
      </c>
      <c r="P5" s="22">
        <v>2.1</v>
      </c>
    </row>
    <row r="6" spans="1:16" ht="11.25">
      <c r="A6" s="21" t="s">
        <v>47</v>
      </c>
      <c r="B6" s="21">
        <f>((C6*19)+(F6*17))/36</f>
        <v>12.459444444444445</v>
      </c>
      <c r="C6" s="21">
        <f t="shared" si="0"/>
        <v>19.026315789473685</v>
      </c>
      <c r="D6" s="27">
        <v>0.4</v>
      </c>
      <c r="E6" s="21">
        <v>79</v>
      </c>
      <c r="F6" s="21">
        <v>5.12</v>
      </c>
      <c r="G6" s="21">
        <v>0.54</v>
      </c>
      <c r="H6" s="21">
        <v>13.9</v>
      </c>
      <c r="I6" s="21"/>
      <c r="J6" s="21"/>
      <c r="K6" s="21"/>
      <c r="L6" s="21"/>
      <c r="M6" s="21"/>
      <c r="N6" s="21"/>
      <c r="O6" s="22">
        <v>32.4</v>
      </c>
      <c r="P6" s="22">
        <v>9.3</v>
      </c>
    </row>
    <row r="7" spans="1:16" ht="11.25">
      <c r="A7" s="21" t="s">
        <v>3</v>
      </c>
      <c r="B7" s="21">
        <f>((C7*19)+(F7*17)+(L7*8))/44</f>
        <v>3.3079545454545456</v>
      </c>
      <c r="C7" s="21">
        <f t="shared" si="0"/>
        <v>5.131578947368421</v>
      </c>
      <c r="D7" s="27">
        <v>0.5</v>
      </c>
      <c r="E7" s="21">
        <v>50</v>
      </c>
      <c r="F7" s="21">
        <v>1.65</v>
      </c>
      <c r="G7" s="21">
        <v>0.85</v>
      </c>
      <c r="H7" s="21">
        <v>3.15</v>
      </c>
      <c r="I7" s="21"/>
      <c r="J7" s="21"/>
      <c r="K7" s="21"/>
      <c r="L7" s="21">
        <v>2.5</v>
      </c>
      <c r="M7" s="21"/>
      <c r="N7" s="21"/>
      <c r="O7" s="22">
        <v>1.6</v>
      </c>
      <c r="P7" s="22">
        <v>7.7</v>
      </c>
    </row>
    <row r="8" spans="1:16" ht="11.25">
      <c r="A8" s="21" t="s">
        <v>42</v>
      </c>
      <c r="B8" s="21">
        <f>((C8*19)+(F8*17)+(I8*11)+(L8*8))/55</f>
        <v>3.5241818181818183</v>
      </c>
      <c r="C8" s="21">
        <f t="shared" si="0"/>
        <v>3.1052631578947367</v>
      </c>
      <c r="D8" s="27">
        <v>0.8</v>
      </c>
      <c r="E8" s="21">
        <v>6.6</v>
      </c>
      <c r="F8" s="21">
        <v>3.49</v>
      </c>
      <c r="G8" s="21">
        <v>0.82</v>
      </c>
      <c r="H8" s="21">
        <v>5.5</v>
      </c>
      <c r="I8" s="21">
        <v>4.1</v>
      </c>
      <c r="J8" s="21">
        <v>2.2</v>
      </c>
      <c r="K8" s="21">
        <v>6.6</v>
      </c>
      <c r="L8" s="21">
        <v>3.8</v>
      </c>
      <c r="M8" s="21"/>
      <c r="N8" s="21"/>
      <c r="O8" s="22">
        <v>2.7</v>
      </c>
      <c r="P8" s="22">
        <v>3.4</v>
      </c>
    </row>
    <row r="9" spans="1:16" ht="11.25">
      <c r="A9" s="21" t="s">
        <v>4</v>
      </c>
      <c r="B9" s="21">
        <f>((C9*19)+(F9*17)+(I9*11)+(L9*8))/55</f>
        <v>5.836181818181818</v>
      </c>
      <c r="C9" s="21">
        <f t="shared" si="0"/>
        <v>3.1</v>
      </c>
      <c r="D9" s="27">
        <v>1.2</v>
      </c>
      <c r="E9" s="21">
        <v>9.5</v>
      </c>
      <c r="F9" s="21">
        <v>4.67</v>
      </c>
      <c r="G9" s="21">
        <v>1.99</v>
      </c>
      <c r="H9" s="21">
        <v>8.7</v>
      </c>
      <c r="I9" s="21">
        <v>8.1</v>
      </c>
      <c r="J9" s="24">
        <v>3.4</v>
      </c>
      <c r="K9" s="24">
        <v>11.4</v>
      </c>
      <c r="L9" s="21">
        <v>11.7</v>
      </c>
      <c r="M9" s="21"/>
      <c r="N9" s="21"/>
      <c r="O9" s="22">
        <v>3.1</v>
      </c>
      <c r="P9" s="22">
        <v>3.1</v>
      </c>
    </row>
    <row r="10" spans="1:16" ht="11.25">
      <c r="A10" s="21" t="s">
        <v>5</v>
      </c>
      <c r="B10" s="21">
        <f>((C10*19)+(F10*17)+(L10*8))/44</f>
        <v>1.2595454545454545</v>
      </c>
      <c r="C10" s="21">
        <f t="shared" si="0"/>
        <v>1.3736842105263156</v>
      </c>
      <c r="D10" s="27">
        <v>0.1</v>
      </c>
      <c r="E10" s="21">
        <v>2.3</v>
      </c>
      <c r="F10" s="21">
        <v>1.16</v>
      </c>
      <c r="G10" s="21">
        <v>0.2</v>
      </c>
      <c r="H10" s="21">
        <v>2.9</v>
      </c>
      <c r="I10" s="21"/>
      <c r="J10" s="21"/>
      <c r="K10" s="21"/>
      <c r="L10" s="21">
        <v>1.2</v>
      </c>
      <c r="M10" s="21"/>
      <c r="N10" s="21"/>
      <c r="O10" s="22">
        <v>2.3</v>
      </c>
      <c r="P10" s="22">
        <v>0.7</v>
      </c>
    </row>
    <row r="11" spans="1:16" ht="11.25">
      <c r="A11" s="21" t="s">
        <v>39</v>
      </c>
      <c r="B11" s="21">
        <f>((C11*19)+(F11*17)+(I11*11))/47</f>
        <v>2.0399574468085104</v>
      </c>
      <c r="C11" s="21">
        <f t="shared" si="0"/>
        <v>1.2583157894736843</v>
      </c>
      <c r="D11" s="27">
        <v>0.41</v>
      </c>
      <c r="E11" s="21">
        <v>2.485</v>
      </c>
      <c r="F11" s="21">
        <v>1.71</v>
      </c>
      <c r="G11" s="21">
        <v>0.86</v>
      </c>
      <c r="H11" s="21">
        <v>2.7</v>
      </c>
      <c r="I11" s="21">
        <v>3.9</v>
      </c>
      <c r="J11" s="21">
        <v>2.1</v>
      </c>
      <c r="K11" s="21">
        <v>5.7</v>
      </c>
      <c r="L11" s="21"/>
      <c r="M11" s="21"/>
      <c r="N11" s="21"/>
      <c r="O11" s="22">
        <v>1.355</v>
      </c>
      <c r="P11" s="22">
        <v>1.188</v>
      </c>
    </row>
    <row r="12" spans="1:16" ht="11.25">
      <c r="A12" s="21" t="s">
        <v>6</v>
      </c>
      <c r="B12" s="21">
        <f>((C12*19)+(F12*17))/36</f>
        <v>5.410555555555556</v>
      </c>
      <c r="C12" s="21">
        <f t="shared" si="0"/>
        <v>5.742105263157894</v>
      </c>
      <c r="D12" s="27">
        <v>0.7</v>
      </c>
      <c r="E12" s="21">
        <v>35.8</v>
      </c>
      <c r="F12" s="21">
        <v>5.04</v>
      </c>
      <c r="G12" s="21">
        <v>2.18</v>
      </c>
      <c r="H12" s="21">
        <v>13</v>
      </c>
      <c r="I12" s="21"/>
      <c r="J12" s="21"/>
      <c r="K12" s="21"/>
      <c r="L12" s="21"/>
      <c r="M12" s="21"/>
      <c r="N12" s="21"/>
      <c r="O12" s="22">
        <v>3.6</v>
      </c>
      <c r="P12" s="22">
        <v>7.3</v>
      </c>
    </row>
    <row r="13" spans="1:14" ht="11.25">
      <c r="A13" s="21" t="s">
        <v>7</v>
      </c>
      <c r="B13" s="21">
        <f>F13</f>
        <v>0.34</v>
      </c>
      <c r="C13" s="21"/>
      <c r="D13" s="27"/>
      <c r="E13" s="21"/>
      <c r="F13" s="21">
        <v>0.34</v>
      </c>
      <c r="G13" s="21">
        <v>0.12</v>
      </c>
      <c r="H13" s="21">
        <v>0.86</v>
      </c>
      <c r="I13" s="21"/>
      <c r="J13" s="21"/>
      <c r="K13" s="21"/>
      <c r="L13" s="21"/>
      <c r="M13" s="21"/>
      <c r="N13" s="21"/>
    </row>
    <row r="14" spans="1:16" ht="11.25">
      <c r="A14" s="21" t="s">
        <v>8</v>
      </c>
      <c r="B14" s="21">
        <f>((C14*19)+(F14*17)+(I14*11)+(L14*8))/55</f>
        <v>0.5645454545454546</v>
      </c>
      <c r="C14" s="21">
        <f>((O14*8)+(P14*11))/19</f>
        <v>0.5</v>
      </c>
      <c r="D14" s="27">
        <v>0.2</v>
      </c>
      <c r="E14" s="21">
        <v>0.7</v>
      </c>
      <c r="F14" s="21">
        <v>0.55</v>
      </c>
      <c r="G14" s="21">
        <v>0.23</v>
      </c>
      <c r="H14" s="21">
        <v>1</v>
      </c>
      <c r="I14" s="21">
        <v>0.6</v>
      </c>
      <c r="J14" s="24"/>
      <c r="K14" s="24"/>
      <c r="L14" s="21">
        <v>0.7</v>
      </c>
      <c r="M14" s="21">
        <v>0.3</v>
      </c>
      <c r="N14" s="21">
        <v>1.2</v>
      </c>
      <c r="O14" s="22">
        <v>0.5</v>
      </c>
      <c r="P14" s="22">
        <v>0.5</v>
      </c>
    </row>
    <row r="15" spans="1:16" ht="11.25">
      <c r="A15" s="21" t="s">
        <v>9</v>
      </c>
      <c r="B15" s="21">
        <f>((C15*19)+(F15*17)+(I15*11)+(L15*8))/55</f>
        <v>2.1514545454545453</v>
      </c>
      <c r="C15" s="21">
        <f>((O15*8)+(P15*11))/19</f>
        <v>1.894736842105263</v>
      </c>
      <c r="D15" s="27">
        <v>0.5</v>
      </c>
      <c r="E15" s="21">
        <v>4</v>
      </c>
      <c r="F15" s="21">
        <v>2.59</v>
      </c>
      <c r="G15" s="21">
        <v>0.29</v>
      </c>
      <c r="H15" s="21">
        <v>9.87</v>
      </c>
      <c r="I15" s="21">
        <v>1.3</v>
      </c>
      <c r="J15" s="24"/>
      <c r="K15" s="24"/>
      <c r="L15" s="21">
        <v>3</v>
      </c>
      <c r="M15" s="21">
        <v>1.2</v>
      </c>
      <c r="N15" s="21">
        <v>8.7</v>
      </c>
      <c r="O15" s="22">
        <v>2.3</v>
      </c>
      <c r="P15" s="22">
        <v>1.6</v>
      </c>
    </row>
    <row r="16" spans="1:14" ht="11.25">
      <c r="A16" s="21" t="s">
        <v>10</v>
      </c>
      <c r="B16" s="21">
        <f>((F16*19)+(L16*8))/25</f>
        <v>9.9452</v>
      </c>
      <c r="C16" s="21"/>
      <c r="D16" s="27"/>
      <c r="E16" s="21"/>
      <c r="F16" s="21">
        <v>9.17</v>
      </c>
      <c r="G16" s="21">
        <v>2</v>
      </c>
      <c r="H16" s="21">
        <v>25.55</v>
      </c>
      <c r="I16" s="21"/>
      <c r="J16" s="21"/>
      <c r="K16" s="21"/>
      <c r="L16" s="21">
        <v>9.3</v>
      </c>
      <c r="M16" s="21">
        <v>3.4</v>
      </c>
      <c r="N16" s="21">
        <v>23.2</v>
      </c>
    </row>
    <row r="17" spans="1:16" ht="11.25">
      <c r="A17" s="21" t="s">
        <v>11</v>
      </c>
      <c r="B17" s="21">
        <f>((C17*19)+(F17*17)+(I17*11))/47</f>
        <v>10.13404255319149</v>
      </c>
      <c r="C17" s="21">
        <f>((O17*8)+(P17*11))/19</f>
        <v>11.926315789473684</v>
      </c>
      <c r="D17" s="27">
        <v>1.1</v>
      </c>
      <c r="E17" s="21">
        <v>75</v>
      </c>
      <c r="F17" s="21">
        <v>8.8</v>
      </c>
      <c r="G17" s="21">
        <v>1.56</v>
      </c>
      <c r="H17" s="21">
        <v>21</v>
      </c>
      <c r="I17" s="21">
        <v>9.1</v>
      </c>
      <c r="J17" s="21">
        <v>6.2</v>
      </c>
      <c r="K17" s="21">
        <v>15.3</v>
      </c>
      <c r="L17" s="21"/>
      <c r="M17" s="21"/>
      <c r="N17" s="21"/>
      <c r="O17" s="22">
        <v>8.8</v>
      </c>
      <c r="P17" s="22">
        <v>14.2</v>
      </c>
    </row>
    <row r="18" spans="1:14" ht="11.25">
      <c r="A18" s="21" t="s">
        <v>12</v>
      </c>
      <c r="B18" s="21">
        <f>F18</f>
        <v>2.35</v>
      </c>
      <c r="C18" s="21"/>
      <c r="D18" s="27"/>
      <c r="E18" s="21"/>
      <c r="F18" s="21">
        <v>2.35</v>
      </c>
      <c r="G18" s="21">
        <v>1.27</v>
      </c>
      <c r="H18" s="21">
        <v>3.82</v>
      </c>
      <c r="I18" s="21"/>
      <c r="J18" s="21"/>
      <c r="K18" s="21"/>
      <c r="L18" s="21"/>
      <c r="M18" s="21"/>
      <c r="N18" s="21"/>
    </row>
    <row r="19" spans="1:14" ht="11.25">
      <c r="A19" s="21" t="s">
        <v>13</v>
      </c>
      <c r="B19" s="21">
        <f>F19</f>
        <v>1.94</v>
      </c>
      <c r="C19" s="21"/>
      <c r="D19" s="27"/>
      <c r="E19" s="21"/>
      <c r="F19" s="21">
        <v>1.94</v>
      </c>
      <c r="G19" s="21">
        <v>1.07</v>
      </c>
      <c r="H19" s="21">
        <v>2.94</v>
      </c>
      <c r="I19" s="21"/>
      <c r="J19" s="21"/>
      <c r="K19" s="21"/>
      <c r="L19" s="21"/>
      <c r="M19" s="21"/>
      <c r="N19" s="21"/>
    </row>
    <row r="20" spans="1:14" ht="11.25">
      <c r="A20" s="21" t="s">
        <v>14</v>
      </c>
      <c r="B20" s="21">
        <f>F20</f>
        <v>0.5</v>
      </c>
      <c r="C20" s="21"/>
      <c r="D20" s="27"/>
      <c r="E20" s="21"/>
      <c r="F20" s="21">
        <v>0.5</v>
      </c>
      <c r="G20" s="24"/>
      <c r="H20" s="24"/>
      <c r="I20" s="21"/>
      <c r="J20" s="21"/>
      <c r="K20" s="21"/>
      <c r="L20" s="21"/>
      <c r="M20" s="21"/>
      <c r="N20" s="21"/>
    </row>
    <row r="21" spans="1:16" ht="11.25">
      <c r="A21" s="21" t="s">
        <v>43</v>
      </c>
      <c r="B21" s="21">
        <f>C21</f>
        <v>5.136842105263158</v>
      </c>
      <c r="C21" s="21">
        <f>((O21*8)+(P21*11))/19</f>
        <v>5.136842105263158</v>
      </c>
      <c r="D21" s="27">
        <v>0.7</v>
      </c>
      <c r="E21" s="21">
        <v>17.5</v>
      </c>
      <c r="F21" s="24"/>
      <c r="G21" s="24"/>
      <c r="H21" s="24"/>
      <c r="I21" s="24"/>
      <c r="J21" s="24"/>
      <c r="K21" s="24"/>
      <c r="L21" s="21"/>
      <c r="M21" s="21"/>
      <c r="N21" s="21"/>
      <c r="O21" s="22">
        <v>7.8</v>
      </c>
      <c r="P21" s="22">
        <v>3.2</v>
      </c>
    </row>
    <row r="22" spans="1:14" ht="11.25">
      <c r="A22" s="21" t="s">
        <v>38</v>
      </c>
      <c r="B22" s="21">
        <f>SUM(B3:B4)</f>
        <v>6.8425</v>
      </c>
      <c r="C22" s="21">
        <f aca="true" t="shared" si="1" ref="C22:H22">SUM(C3:C4)</f>
        <v>6.331578947368421</v>
      </c>
      <c r="D22" s="27">
        <f t="shared" si="1"/>
        <v>2</v>
      </c>
      <c r="E22" s="21">
        <f t="shared" si="1"/>
        <v>19.5</v>
      </c>
      <c r="F22" s="21">
        <f t="shared" si="1"/>
        <v>7.8100000000000005</v>
      </c>
      <c r="G22" s="21">
        <f t="shared" si="1"/>
        <v>3.32</v>
      </c>
      <c r="H22" s="21">
        <f t="shared" si="1"/>
        <v>16.38</v>
      </c>
      <c r="I22" s="21">
        <v>6.5</v>
      </c>
      <c r="J22" s="21">
        <v>3.9</v>
      </c>
      <c r="K22" s="21">
        <v>11.7</v>
      </c>
      <c r="L22" s="21">
        <f>SUM(L3:L4)</f>
        <v>6</v>
      </c>
      <c r="M22" s="21"/>
      <c r="N22" s="21"/>
    </row>
    <row r="23" spans="1:14" ht="11.25">
      <c r="A23" s="21" t="s">
        <v>17</v>
      </c>
      <c r="B23" s="21">
        <f>B5+B7+B8+B9+B10+(B6*0.1)</f>
        <v>16.859262626262627</v>
      </c>
      <c r="C23" s="21">
        <f aca="true" t="shared" si="2" ref="C23:H23">C5+C7+C8+C9+C10+(C6*0.1)</f>
        <v>16.460526315789473</v>
      </c>
      <c r="D23" s="27">
        <f t="shared" si="2"/>
        <v>2.94</v>
      </c>
      <c r="E23" s="21">
        <f t="shared" si="2"/>
        <v>81.8</v>
      </c>
      <c r="F23" s="21">
        <f t="shared" si="2"/>
        <v>13.262</v>
      </c>
      <c r="G23" s="21">
        <f t="shared" si="2"/>
        <v>4.174</v>
      </c>
      <c r="H23" s="21">
        <f t="shared" si="2"/>
        <v>24.839999999999996</v>
      </c>
      <c r="I23" s="21"/>
      <c r="J23" s="21"/>
      <c r="K23" s="21"/>
      <c r="L23" s="21">
        <f>L5+L7+L8+L9+L10+(L6*0.1)</f>
        <v>20.3</v>
      </c>
      <c r="M23" s="21"/>
      <c r="N23" s="21"/>
    </row>
    <row r="24" spans="1:14" ht="11.25">
      <c r="A24" s="21" t="s">
        <v>28</v>
      </c>
      <c r="B24" s="21">
        <f>(B13*0.1)+(B14*0.9)+(B15*0.1)+(B16*0.01)+(B17*0.02)+(B18*0.1)+(B19*0.1)+(B12*0.2)</f>
        <v>2.570480325811305</v>
      </c>
      <c r="C24" s="21"/>
      <c r="D24" s="27"/>
      <c r="E24" s="21"/>
      <c r="F24" s="21">
        <f>(F13*0.1)+(F14*0.9)+(F15*0.1)+(F16*0.01)+(F17*0.02)+(F18*0.1)+(F19*0.1)+(F12*0.2)</f>
        <v>2.4927</v>
      </c>
      <c r="G24" s="21">
        <f>(G13*0.1)+(G14*0.9)+(G15*0.1)+(G16*0.01)+(G17*0.02)+(G18*0.1)+(G19*0.1)+(G12*0.2)</f>
        <v>0.9692000000000001</v>
      </c>
      <c r="H24" s="21">
        <f>(H13*0.1)+(H14*0.9)+(H15*0.1)+(H16*0.01)+(H17*0.02)+(H18*0.1)+(H19*0.1)+(H12*0.2)</f>
        <v>5.9245</v>
      </c>
      <c r="I24" s="21"/>
      <c r="J24" s="21"/>
      <c r="K24" s="21"/>
      <c r="L24" s="21"/>
      <c r="M24" s="21"/>
      <c r="N24" s="21"/>
    </row>
    <row r="25" spans="1:14" ht="11.25">
      <c r="A25" s="21" t="s">
        <v>44</v>
      </c>
      <c r="B25" s="21">
        <f aca="true" t="shared" si="3" ref="B25:H25">B22+B23</f>
        <v>23.701762626262628</v>
      </c>
      <c r="C25" s="21">
        <f t="shared" si="3"/>
        <v>22.792105263157893</v>
      </c>
      <c r="D25" s="27">
        <f t="shared" si="3"/>
        <v>4.9399999999999995</v>
      </c>
      <c r="E25" s="21">
        <f t="shared" si="3"/>
        <v>101.3</v>
      </c>
      <c r="F25" s="21">
        <f t="shared" si="3"/>
        <v>21.072000000000003</v>
      </c>
      <c r="G25" s="21">
        <f t="shared" si="3"/>
        <v>7.494</v>
      </c>
      <c r="H25" s="21">
        <f t="shared" si="3"/>
        <v>41.22</v>
      </c>
      <c r="I25" s="21">
        <v>22.8</v>
      </c>
      <c r="J25" s="21">
        <v>19.1</v>
      </c>
      <c r="K25" s="21">
        <v>26.8</v>
      </c>
      <c r="L25" s="21">
        <f>L22+L23</f>
        <v>26.3</v>
      </c>
      <c r="M25" s="21">
        <v>17</v>
      </c>
      <c r="N25" s="21">
        <v>35</v>
      </c>
    </row>
    <row r="28" spans="1:8" ht="11.25">
      <c r="A28" s="23"/>
      <c r="B28" s="23"/>
      <c r="C28" s="23"/>
      <c r="D28" s="28"/>
      <c r="E28" s="23"/>
      <c r="F28" s="23"/>
      <c r="G28" s="23"/>
      <c r="H28" s="23"/>
    </row>
    <row r="29" spans="1:15" ht="11.25">
      <c r="A29" s="9" t="s">
        <v>40</v>
      </c>
      <c r="B29" s="9"/>
      <c r="C29" s="11"/>
      <c r="D29" s="29"/>
      <c r="F29" s="36"/>
      <c r="G29" s="37"/>
      <c r="H29" s="38"/>
      <c r="I29" s="21"/>
      <c r="J29" s="21"/>
      <c r="K29" s="21"/>
      <c r="L29" s="21"/>
      <c r="M29" s="21"/>
      <c r="N29" s="21"/>
      <c r="O29" s="21"/>
    </row>
    <row r="30" spans="1:15" ht="11.25">
      <c r="A30" s="10"/>
      <c r="C30" s="16">
        <v>35</v>
      </c>
      <c r="D30" s="30" t="s">
        <v>33</v>
      </c>
      <c r="E30" s="17"/>
      <c r="F30" s="17"/>
      <c r="G30" s="23"/>
      <c r="H30" s="39"/>
      <c r="I30" s="54" t="s">
        <v>58</v>
      </c>
      <c r="J30" s="54"/>
      <c r="K30" s="54"/>
      <c r="L30" s="55" t="s">
        <v>59</v>
      </c>
      <c r="M30" s="54" t="s">
        <v>55</v>
      </c>
      <c r="N30" s="54"/>
      <c r="O30" s="54"/>
    </row>
    <row r="31" spans="1:15" ht="62.25" customHeight="1">
      <c r="A31" s="63"/>
      <c r="B31" s="64"/>
      <c r="C31" s="15" t="s">
        <v>50</v>
      </c>
      <c r="D31" s="31" t="s">
        <v>51</v>
      </c>
      <c r="E31" s="1" t="s">
        <v>18</v>
      </c>
      <c r="F31" s="1" t="s">
        <v>19</v>
      </c>
      <c r="G31" s="12" t="s">
        <v>29</v>
      </c>
      <c r="H31" s="40" t="s">
        <v>52</v>
      </c>
      <c r="I31" s="46" t="s">
        <v>54</v>
      </c>
      <c r="J31" s="46" t="s">
        <v>56</v>
      </c>
      <c r="K31" s="46" t="s">
        <v>57</v>
      </c>
      <c r="L31" s="56"/>
      <c r="M31" s="47" t="s">
        <v>54</v>
      </c>
      <c r="N31" s="46" t="s">
        <v>56</v>
      </c>
      <c r="O31" s="46" t="s">
        <v>57</v>
      </c>
    </row>
    <row r="32" spans="1:15" ht="11.25">
      <c r="A32" s="51" t="s">
        <v>20</v>
      </c>
      <c r="B32" s="52"/>
      <c r="C32" s="8">
        <v>23.702</v>
      </c>
      <c r="D32" s="32"/>
      <c r="E32" s="2"/>
      <c r="F32" s="7">
        <v>2500</v>
      </c>
      <c r="G32" s="4">
        <f>(C32*F32)/60</f>
        <v>987.5833333333335</v>
      </c>
      <c r="H32" s="41">
        <f aca="true" t="shared" si="4" ref="H32:H43">G32/$G$44</f>
        <v>0.10463813315186993</v>
      </c>
      <c r="I32" s="44">
        <v>0</v>
      </c>
      <c r="J32" s="44">
        <v>29</v>
      </c>
      <c r="K32" s="44">
        <v>71</v>
      </c>
      <c r="L32" s="44">
        <f>I32+J32+K32</f>
        <v>100</v>
      </c>
      <c r="M32" s="44">
        <f aca="true" t="shared" si="5" ref="M32:O34">$G32*I32/100</f>
        <v>0</v>
      </c>
      <c r="N32" s="44">
        <f t="shared" si="5"/>
        <v>286.3991666666667</v>
      </c>
      <c r="O32" s="44">
        <f t="shared" si="5"/>
        <v>701.1841666666667</v>
      </c>
    </row>
    <row r="33" spans="1:15" ht="11.25">
      <c r="A33" s="51" t="s">
        <v>21</v>
      </c>
      <c r="B33" s="52"/>
      <c r="C33" s="8">
        <v>2.04</v>
      </c>
      <c r="D33" s="32"/>
      <c r="E33" s="2"/>
      <c r="F33" s="7">
        <v>2500</v>
      </c>
      <c r="G33" s="4">
        <f>(C33*F33)/60</f>
        <v>85</v>
      </c>
      <c r="H33" s="41">
        <f t="shared" si="4"/>
        <v>0.009006066645422944</v>
      </c>
      <c r="I33" s="44">
        <v>0</v>
      </c>
      <c r="J33" s="44">
        <v>10</v>
      </c>
      <c r="K33" s="44">
        <v>90</v>
      </c>
      <c r="L33" s="44">
        <f>I33+J33+K33</f>
        <v>100</v>
      </c>
      <c r="M33" s="44">
        <f t="shared" si="5"/>
        <v>0</v>
      </c>
      <c r="N33" s="44">
        <f t="shared" si="5"/>
        <v>8.5</v>
      </c>
      <c r="O33" s="44">
        <f t="shared" si="5"/>
        <v>76.5</v>
      </c>
    </row>
    <row r="34" spans="1:15" ht="11.25">
      <c r="A34" s="51" t="s">
        <v>22</v>
      </c>
      <c r="B34" s="52"/>
      <c r="C34" s="8">
        <v>2.57</v>
      </c>
      <c r="D34" s="32"/>
      <c r="E34" s="2"/>
      <c r="F34" s="7">
        <v>80000</v>
      </c>
      <c r="G34" s="4">
        <f>(C34*F34)/60</f>
        <v>3426.6666666666665</v>
      </c>
      <c r="H34" s="41">
        <f t="shared" si="4"/>
        <v>0.3630680984899916</v>
      </c>
      <c r="I34" s="44">
        <v>0</v>
      </c>
      <c r="J34" s="44">
        <v>3</v>
      </c>
      <c r="K34" s="44">
        <v>97</v>
      </c>
      <c r="L34" s="44">
        <f>I34+J34+K34</f>
        <v>100</v>
      </c>
      <c r="M34" s="44">
        <f t="shared" si="5"/>
        <v>0</v>
      </c>
      <c r="N34" s="44">
        <f t="shared" si="5"/>
        <v>102.8</v>
      </c>
      <c r="O34" s="44">
        <f t="shared" si="5"/>
        <v>3323.8666666666663</v>
      </c>
    </row>
    <row r="35" spans="1:15" ht="11.25">
      <c r="A35" s="53" t="s">
        <v>23</v>
      </c>
      <c r="B35" s="52"/>
      <c r="C35" s="3"/>
      <c r="D35" s="33"/>
      <c r="E35" s="3"/>
      <c r="F35" s="3"/>
      <c r="G35" s="13">
        <f>SUM(G32:G34)</f>
        <v>4499.25</v>
      </c>
      <c r="H35" s="42">
        <f t="shared" si="4"/>
        <v>0.4767122982872845</v>
      </c>
      <c r="I35" s="44"/>
      <c r="J35" s="44"/>
      <c r="K35" s="44"/>
      <c r="L35" s="44"/>
      <c r="M35" s="13">
        <f>SUM(M32:M34)</f>
        <v>0</v>
      </c>
      <c r="N35" s="13">
        <f>SUM(N32:N34)</f>
        <v>397.6991666666667</v>
      </c>
      <c r="O35" s="13">
        <f>SUM(O32:O34)</f>
        <v>4101.550833333333</v>
      </c>
    </row>
    <row r="36" spans="1:15" ht="12" thickBot="1">
      <c r="A36" s="51" t="s">
        <v>34</v>
      </c>
      <c r="B36" s="52"/>
      <c r="C36" s="2"/>
      <c r="D36" s="49">
        <v>7</v>
      </c>
      <c r="E36" s="2"/>
      <c r="F36" s="2"/>
      <c r="G36" s="4">
        <f>(G35*(D36/100))</f>
        <v>314.94750000000005</v>
      </c>
      <c r="H36" s="41">
        <f t="shared" si="4"/>
        <v>0.03336986088010992</v>
      </c>
      <c r="I36" s="44">
        <v>20</v>
      </c>
      <c r="J36" s="44">
        <v>60</v>
      </c>
      <c r="K36" s="44">
        <v>20</v>
      </c>
      <c r="L36" s="44">
        <f>I36+J36+K36</f>
        <v>100</v>
      </c>
      <c r="M36" s="44">
        <f aca="true" t="shared" si="6" ref="M36:O38">$G36*I36/100</f>
        <v>62.98950000000001</v>
      </c>
      <c r="N36" s="44">
        <f t="shared" si="6"/>
        <v>188.96850000000003</v>
      </c>
      <c r="O36" s="44">
        <f t="shared" si="6"/>
        <v>62.98950000000001</v>
      </c>
    </row>
    <row r="37" spans="1:15" ht="12" thickBot="1">
      <c r="A37" s="51" t="s">
        <v>35</v>
      </c>
      <c r="B37" s="52"/>
      <c r="C37" s="2"/>
      <c r="D37" s="49">
        <v>12.3</v>
      </c>
      <c r="E37" s="2"/>
      <c r="F37" s="2"/>
      <c r="G37" s="4">
        <f>(G35*(D37/100))</f>
        <v>553.4077500000001</v>
      </c>
      <c r="H37" s="41">
        <f t="shared" si="4"/>
        <v>0.058635612689336</v>
      </c>
      <c r="I37" s="44">
        <v>0</v>
      </c>
      <c r="J37" s="44">
        <v>70</v>
      </c>
      <c r="K37" s="44">
        <v>30</v>
      </c>
      <c r="L37" s="44">
        <f>I37+J37+K37</f>
        <v>100</v>
      </c>
      <c r="M37" s="44">
        <f t="shared" si="6"/>
        <v>0</v>
      </c>
      <c r="N37" s="44">
        <f t="shared" si="6"/>
        <v>387.38542500000005</v>
      </c>
      <c r="O37" s="44">
        <f t="shared" si="6"/>
        <v>166.02232500000002</v>
      </c>
    </row>
    <row r="38" spans="1:15" ht="12" thickBot="1">
      <c r="A38" s="51" t="s">
        <v>36</v>
      </c>
      <c r="B38" s="52"/>
      <c r="C38" s="2"/>
      <c r="D38" s="49">
        <v>10</v>
      </c>
      <c r="E38" s="2"/>
      <c r="F38" s="2"/>
      <c r="G38" s="4">
        <f>(G35*(D38/100))</f>
        <v>449.925</v>
      </c>
      <c r="H38" s="41">
        <f t="shared" si="4"/>
        <v>0.04767122982872845</v>
      </c>
      <c r="I38" s="44">
        <v>20</v>
      </c>
      <c r="J38" s="44">
        <v>60</v>
      </c>
      <c r="K38" s="44">
        <v>20</v>
      </c>
      <c r="L38" s="44">
        <f>I38+J38+K38</f>
        <v>100</v>
      </c>
      <c r="M38" s="44">
        <f t="shared" si="6"/>
        <v>89.985</v>
      </c>
      <c r="N38" s="44">
        <f t="shared" si="6"/>
        <v>269.955</v>
      </c>
      <c r="O38" s="44">
        <f t="shared" si="6"/>
        <v>89.985</v>
      </c>
    </row>
    <row r="39" spans="1:15" ht="11.25">
      <c r="A39" s="53" t="s">
        <v>24</v>
      </c>
      <c r="B39" s="52"/>
      <c r="C39" s="3"/>
      <c r="D39" s="33"/>
      <c r="E39" s="3"/>
      <c r="F39" s="3"/>
      <c r="G39" s="13">
        <f>SUM(G35:G38)</f>
        <v>5817.530250000001</v>
      </c>
      <c r="H39" s="42">
        <f t="shared" si="4"/>
        <v>0.616389001685459</v>
      </c>
      <c r="I39" s="44"/>
      <c r="J39" s="44"/>
      <c r="K39" s="44"/>
      <c r="L39" s="44"/>
      <c r="M39" s="13">
        <f>SUM(M35:M38)</f>
        <v>152.9745</v>
      </c>
      <c r="N39" s="13">
        <f>SUM(N35:N38)</f>
        <v>1244.0080916666668</v>
      </c>
      <c r="O39" s="13">
        <f>SUM(O35:O38)</f>
        <v>4420.547658333332</v>
      </c>
    </row>
    <row r="40" spans="1:15" ht="11.25">
      <c r="A40" s="51" t="s">
        <v>61</v>
      </c>
      <c r="B40" s="52"/>
      <c r="C40" s="2"/>
      <c r="D40" s="4"/>
      <c r="E40" s="4">
        <f>C30*50.49</f>
        <v>1767.15</v>
      </c>
      <c r="F40" s="8">
        <v>1</v>
      </c>
      <c r="G40" s="4">
        <f>E40*F40</f>
        <v>1767.15</v>
      </c>
      <c r="H40" s="41">
        <f t="shared" si="4"/>
        <v>0.18723612555834301</v>
      </c>
      <c r="I40" s="44">
        <v>0</v>
      </c>
      <c r="J40" s="44">
        <v>0</v>
      </c>
      <c r="K40" s="44">
        <v>100</v>
      </c>
      <c r="L40" s="44">
        <f>I40+J40+K40</f>
        <v>100</v>
      </c>
      <c r="M40" s="44">
        <f aca="true" t="shared" si="7" ref="M40:O42">$G40*I40/100</f>
        <v>0</v>
      </c>
      <c r="N40" s="44">
        <f t="shared" si="7"/>
        <v>0</v>
      </c>
      <c r="O40" s="44">
        <f t="shared" si="7"/>
        <v>1767.15</v>
      </c>
    </row>
    <row r="41" spans="1:15" ht="11.25">
      <c r="A41" s="51" t="s">
        <v>25</v>
      </c>
      <c r="B41" s="52"/>
      <c r="C41" s="2"/>
      <c r="D41" s="4"/>
      <c r="E41" s="4">
        <f>C30*50.49</f>
        <v>1767.15</v>
      </c>
      <c r="F41" s="8">
        <v>0.7</v>
      </c>
      <c r="G41" s="4">
        <f>E41*F41</f>
        <v>1237.0049999999999</v>
      </c>
      <c r="H41" s="41">
        <f t="shared" si="4"/>
        <v>0.1310652878908401</v>
      </c>
      <c r="I41" s="44">
        <v>0</v>
      </c>
      <c r="J41" s="44">
        <v>100</v>
      </c>
      <c r="K41" s="44">
        <v>0</v>
      </c>
      <c r="L41" s="44">
        <f>I41+J41+K41</f>
        <v>100</v>
      </c>
      <c r="M41" s="44">
        <f t="shared" si="7"/>
        <v>0</v>
      </c>
      <c r="N41" s="44">
        <f t="shared" si="7"/>
        <v>1237.0049999999999</v>
      </c>
      <c r="O41" s="44">
        <f t="shared" si="7"/>
        <v>0</v>
      </c>
    </row>
    <row r="42" spans="1:15" ht="11.25">
      <c r="A42" s="51" t="s">
        <v>37</v>
      </c>
      <c r="B42" s="52"/>
      <c r="C42" s="2"/>
      <c r="D42" s="22">
        <v>13.7</v>
      </c>
      <c r="E42" s="4"/>
      <c r="F42" s="2"/>
      <c r="G42" s="4">
        <f>(G35*(D42/100))</f>
        <v>616.3972499999999</v>
      </c>
      <c r="H42" s="41">
        <f t="shared" si="4"/>
        <v>0.06530958486535796</v>
      </c>
      <c r="I42" s="44">
        <v>20</v>
      </c>
      <c r="J42" s="44">
        <v>60</v>
      </c>
      <c r="K42" s="44">
        <v>20</v>
      </c>
      <c r="L42" s="44">
        <f>I42+J42+K42</f>
        <v>100</v>
      </c>
      <c r="M42" s="44">
        <f t="shared" si="7"/>
        <v>123.27944999999998</v>
      </c>
      <c r="N42" s="44">
        <f t="shared" si="7"/>
        <v>369.83834999999993</v>
      </c>
      <c r="O42" s="44">
        <f t="shared" si="7"/>
        <v>123.27944999999998</v>
      </c>
    </row>
    <row r="43" spans="1:15" ht="11.25">
      <c r="A43" s="53" t="s">
        <v>26</v>
      </c>
      <c r="B43" s="52"/>
      <c r="C43" s="3"/>
      <c r="D43" s="33"/>
      <c r="E43" s="3"/>
      <c r="F43" s="3"/>
      <c r="G43" s="13">
        <f>SUM(G40:G42)</f>
        <v>3620.5522499999997</v>
      </c>
      <c r="H43" s="42">
        <f t="shared" si="4"/>
        <v>0.3836109983145411</v>
      </c>
      <c r="I43" s="21"/>
      <c r="J43" s="21"/>
      <c r="K43" s="21"/>
      <c r="L43" s="21"/>
      <c r="M43" s="13">
        <f>SUM(M40:M42)</f>
        <v>123.27944999999998</v>
      </c>
      <c r="N43" s="13">
        <f>SUM(N40:N42)</f>
        <v>1606.8433499999999</v>
      </c>
      <c r="O43" s="13">
        <f>SUM(O40:O42)</f>
        <v>1890.42945</v>
      </c>
    </row>
    <row r="44" spans="1:15" ht="11.25">
      <c r="A44" s="62" t="s">
        <v>27</v>
      </c>
      <c r="B44" s="52"/>
      <c r="C44" s="5"/>
      <c r="D44" s="34"/>
      <c r="E44" s="5"/>
      <c r="F44" s="5"/>
      <c r="G44" s="14">
        <f>G39+G43</f>
        <v>9438.0825</v>
      </c>
      <c r="H44" s="48">
        <f>H39+H43</f>
        <v>1</v>
      </c>
      <c r="I44" s="21"/>
      <c r="J44" s="21"/>
      <c r="K44" s="21"/>
      <c r="L44" s="21"/>
      <c r="M44" s="14">
        <f>M39+M43</f>
        <v>276.25395</v>
      </c>
      <c r="N44" s="14">
        <f>N39+N43</f>
        <v>2850.8514416666667</v>
      </c>
      <c r="O44" s="14">
        <f>O39+O43</f>
        <v>6310.977108333333</v>
      </c>
    </row>
    <row r="45" spans="1:15" ht="11.25">
      <c r="A45" s="60" t="s">
        <v>60</v>
      </c>
      <c r="B45" s="65"/>
      <c r="C45" s="65"/>
      <c r="D45" s="65"/>
      <c r="E45" s="66"/>
      <c r="F45" s="6"/>
      <c r="G45" s="45">
        <f>G44/1412.1</f>
        <v>6.683721053749736</v>
      </c>
      <c r="H45" s="43"/>
      <c r="I45" s="21"/>
      <c r="J45" s="21"/>
      <c r="K45" s="21"/>
      <c r="L45" s="44">
        <f>((M45/G45)+(N45/G45)+(O45/G45))*100</f>
        <v>89.65714285714283</v>
      </c>
      <c r="M45" s="45">
        <f>M44/1575</f>
        <v>0.17539933333333332</v>
      </c>
      <c r="N45" s="45">
        <f>N44/1575</f>
        <v>1.8100644074074075</v>
      </c>
      <c r="O45" s="45">
        <f>O44/1575</f>
        <v>4.0069695925925926</v>
      </c>
    </row>
    <row r="46" spans="1:15" ht="11.25">
      <c r="A46" s="60" t="s">
        <v>32</v>
      </c>
      <c r="B46" s="61"/>
      <c r="C46" s="61"/>
      <c r="D46" s="61"/>
      <c r="E46" s="52"/>
      <c r="F46" s="6"/>
      <c r="G46" s="45">
        <f>G44/1448.1</f>
        <v>6.517562668324011</v>
      </c>
      <c r="H46" s="43"/>
      <c r="I46" s="21"/>
      <c r="J46" s="21"/>
      <c r="K46" s="21"/>
      <c r="L46" s="44">
        <f>((M46/G46)+(N46/G46)+(O46/G46))*100</f>
        <v>89.66563467492259</v>
      </c>
      <c r="M46" s="45">
        <f>M44/1615</f>
        <v>0.17105507739938078</v>
      </c>
      <c r="N46" s="45">
        <f>N44/1615</f>
        <v>1.7652330908152736</v>
      </c>
      <c r="O46" s="45">
        <f>O44/1615</f>
        <v>3.90772576367389</v>
      </c>
    </row>
  </sheetData>
  <sheetProtection/>
  <mergeCells count="23">
    <mergeCell ref="M30:O30"/>
    <mergeCell ref="L30:L31"/>
    <mergeCell ref="I30:K30"/>
    <mergeCell ref="L1:N1"/>
    <mergeCell ref="A46:E46"/>
    <mergeCell ref="A44:B44"/>
    <mergeCell ref="A31:B31"/>
    <mergeCell ref="A45:E45"/>
    <mergeCell ref="A40:B40"/>
    <mergeCell ref="A41:B41"/>
    <mergeCell ref="A42:B42"/>
    <mergeCell ref="A43:B43"/>
    <mergeCell ref="A36:B36"/>
    <mergeCell ref="A39:B39"/>
    <mergeCell ref="F1:H1"/>
    <mergeCell ref="C1:E1"/>
    <mergeCell ref="I1:K1"/>
    <mergeCell ref="A38:B38"/>
    <mergeCell ref="A37:B37"/>
    <mergeCell ref="A32:B32"/>
    <mergeCell ref="A33:B33"/>
    <mergeCell ref="A34:B34"/>
    <mergeCell ref="A35:B35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Inst. f. Bibl.-wissenschaft</dc:creator>
  <cp:keywords/>
  <dc:description/>
  <cp:lastModifiedBy>Nele Röder</cp:lastModifiedBy>
  <cp:lastPrinted>1998-03-18T19:00:05Z</cp:lastPrinted>
  <dcterms:created xsi:type="dcterms:W3CDTF">1998-03-17T22:22:06Z</dcterms:created>
  <dcterms:modified xsi:type="dcterms:W3CDTF">2021-04-09T11:55:39Z</dcterms:modified>
  <cp:category/>
  <cp:version/>
  <cp:contentType/>
  <cp:contentStatus/>
</cp:coreProperties>
</file>