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rof.dr.konradumlauf/Documents/Dashoefer/DashöferEXCEL/"/>
    </mc:Choice>
  </mc:AlternateContent>
  <xr:revisionPtr revIDLastSave="0" documentId="8_{6151102A-8D36-E74E-BA64-411C5B06520A}" xr6:coauthVersionLast="47" xr6:coauthVersionMax="47" xr10:uidLastSave="{00000000-0000-0000-0000-000000000000}"/>
  <bookViews>
    <workbookView xWindow="3200" yWindow="500" windowWidth="20240" windowHeight="143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G42" i="1" s="1"/>
  <c r="E41" i="1"/>
  <c r="G41" i="1" s="1"/>
  <c r="G33" i="1"/>
  <c r="O33" i="1" s="1"/>
  <c r="M33" i="1"/>
  <c r="G34" i="1"/>
  <c r="N34" i="1" s="1"/>
  <c r="O34" i="1"/>
  <c r="G35" i="1"/>
  <c r="O35" i="1" s="1"/>
  <c r="N35" i="1"/>
  <c r="M35" i="1"/>
  <c r="L43" i="1"/>
  <c r="L42" i="1"/>
  <c r="L41" i="1"/>
  <c r="L39" i="1"/>
  <c r="L38" i="1"/>
  <c r="L37" i="1"/>
  <c r="L35" i="1"/>
  <c r="L34" i="1"/>
  <c r="L33" i="1"/>
  <c r="C12" i="1"/>
  <c r="B12" i="1"/>
  <c r="C4" i="1"/>
  <c r="B4" i="1" s="1"/>
  <c r="B23" i="1" s="1"/>
  <c r="C5" i="1"/>
  <c r="C23" i="1" s="1"/>
  <c r="B5" i="1"/>
  <c r="C6" i="1"/>
  <c r="C8" i="1"/>
  <c r="B8" i="1"/>
  <c r="C9" i="1"/>
  <c r="B9" i="1" s="1"/>
  <c r="C10" i="1"/>
  <c r="B10" i="1"/>
  <c r="C11" i="1"/>
  <c r="B11" i="1" s="1"/>
  <c r="C7" i="1"/>
  <c r="B7" i="1" s="1"/>
  <c r="B14" i="1"/>
  <c r="C15" i="1"/>
  <c r="B15" i="1"/>
  <c r="C16" i="1"/>
  <c r="B16" i="1"/>
  <c r="B17" i="1"/>
  <c r="C18" i="1"/>
  <c r="B18" i="1" s="1"/>
  <c r="B19" i="1"/>
  <c r="B20" i="1"/>
  <c r="C13" i="1"/>
  <c r="B13" i="1"/>
  <c r="L23" i="1"/>
  <c r="L24" i="1"/>
  <c r="L26" i="1" s="1"/>
  <c r="C22" i="1"/>
  <c r="B22" i="1" s="1"/>
  <c r="B21" i="1"/>
  <c r="E23" i="1"/>
  <c r="H23" i="1"/>
  <c r="D23" i="1"/>
  <c r="F23" i="1"/>
  <c r="E24" i="1"/>
  <c r="E26" i="1" s="1"/>
  <c r="D24" i="1"/>
  <c r="H24" i="1"/>
  <c r="G23" i="1"/>
  <c r="G24" i="1"/>
  <c r="G26" i="1"/>
  <c r="F24" i="1"/>
  <c r="H25" i="1"/>
  <c r="G25" i="1"/>
  <c r="F25" i="1"/>
  <c r="N33" i="1"/>
  <c r="O36" i="1" l="1"/>
  <c r="N41" i="1"/>
  <c r="O41" i="1"/>
  <c r="M41" i="1"/>
  <c r="F26" i="1"/>
  <c r="D26" i="1"/>
  <c r="H26" i="1"/>
  <c r="G36" i="1"/>
  <c r="C24" i="1"/>
  <c r="B25" i="1"/>
  <c r="G43" i="1"/>
  <c r="G44" i="1" s="1"/>
  <c r="G38" i="1"/>
  <c r="G39" i="1"/>
  <c r="G37" i="1"/>
  <c r="G40" i="1" s="1"/>
  <c r="C26" i="1"/>
  <c r="B26" i="1"/>
  <c r="N36" i="1"/>
  <c r="O42" i="1"/>
  <c r="M42" i="1"/>
  <c r="N42" i="1"/>
  <c r="B6" i="1"/>
  <c r="B24" i="1" s="1"/>
  <c r="M34" i="1"/>
  <c r="M36" i="1" s="1"/>
  <c r="G45" i="1" l="1"/>
  <c r="M37" i="1"/>
  <c r="O37" i="1"/>
  <c r="N37" i="1"/>
  <c r="N39" i="1"/>
  <c r="M39" i="1"/>
  <c r="O39" i="1"/>
  <c r="H38" i="1"/>
  <c r="N38" i="1"/>
  <c r="O38" i="1"/>
  <c r="M38" i="1"/>
  <c r="N43" i="1"/>
  <c r="N44" i="1" s="1"/>
  <c r="M43" i="1"/>
  <c r="M44" i="1" s="1"/>
  <c r="O43" i="1"/>
  <c r="O44" i="1"/>
  <c r="M40" i="1" l="1"/>
  <c r="N40" i="1"/>
  <c r="N45" i="1" s="1"/>
  <c r="M45" i="1"/>
  <c r="N46" i="1"/>
  <c r="N47" i="1"/>
  <c r="H33" i="1"/>
  <c r="G47" i="1"/>
  <c r="G46" i="1"/>
  <c r="H41" i="1"/>
  <c r="H42" i="1"/>
  <c r="H34" i="1"/>
  <c r="H36" i="1"/>
  <c r="H35" i="1"/>
  <c r="O40" i="1"/>
  <c r="O45" i="1" s="1"/>
  <c r="H37" i="1"/>
  <c r="H44" i="1"/>
  <c r="H39" i="1"/>
  <c r="H40" i="1"/>
  <c r="H43" i="1"/>
  <c r="H45" i="1" l="1"/>
  <c r="O46" i="1"/>
  <c r="O47" i="1"/>
  <c r="M46" i="1"/>
  <c r="M47" i="1"/>
  <c r="L47" i="1" s="1"/>
  <c r="L46" i="1" l="1"/>
</calcChain>
</file>

<file path=xl/sharedStrings.xml><?xml version="1.0" encoding="utf-8"?>
<sst xmlns="http://schemas.openxmlformats.org/spreadsheetml/2006/main" count="79" uniqueCount="64">
  <si>
    <t>Min/Stück</t>
  </si>
  <si>
    <t>Auswahlentscheidung</t>
  </si>
  <si>
    <t>Bestellung</t>
  </si>
  <si>
    <t>Zugangsbearbeitung</t>
  </si>
  <si>
    <t>Technische Bearbeitung</t>
  </si>
  <si>
    <t>Schlußkontrolle</t>
  </si>
  <si>
    <t>Reparaturen</t>
  </si>
  <si>
    <t>Rückordnen Nahbereich</t>
  </si>
  <si>
    <t>Rückordnen Mittelbereich</t>
  </si>
  <si>
    <t>Mahnungen Benutzer</t>
  </si>
  <si>
    <t>Fernleihe aktiv</t>
  </si>
  <si>
    <t>Fernleihe passiv</t>
  </si>
  <si>
    <t>Interner Leihverkehr, gebend</t>
  </si>
  <si>
    <t>Interner Leihverkehr nehmend</t>
  </si>
  <si>
    <t>Katalogkarteneinstellen</t>
  </si>
  <si>
    <t>Vergleichsring Bayern (19 Bibl.)</t>
  </si>
  <si>
    <t>Gewichteter
Durchschnitt</t>
  </si>
  <si>
    <t>Tätigkeiten Fachangest. im Zugang</t>
  </si>
  <si>
    <t>Stunden/Jahr</t>
  </si>
  <si>
    <t>Anzahl Fälle</t>
  </si>
  <si>
    <t>Bearbeitung der Neuzugänge</t>
  </si>
  <si>
    <t>Löschungen</t>
  </si>
  <si>
    <t>Bestandsnutzung (Rückordnen, Reparieren, Mahnen u.a.)</t>
  </si>
  <si>
    <t>Zwischensumme 1</t>
  </si>
  <si>
    <t>Zwischensumme 2 = Summe indirekte Dienstleistungen</t>
  </si>
  <si>
    <t>Auskunftsplätze</t>
  </si>
  <si>
    <t>Zwischensumme 3 = Summe direkte Dienstleistungen</t>
  </si>
  <si>
    <t>Erforderliche Arbeitskapazität in Stden/Jahr</t>
  </si>
  <si>
    <t>Bestandsnutzung (ohne Thekendienst)</t>
  </si>
  <si>
    <t>Arbeitskapazität
in Stunden</t>
  </si>
  <si>
    <t>Schlechtester
Wert</t>
  </si>
  <si>
    <t>Bester
Wert</t>
  </si>
  <si>
    <t>Erforderliche Arbeitskapazität in Vollzeitstellen bei 40-Stundenwoche</t>
  </si>
  <si>
    <t>Öffnungsstunden pro Woche</t>
  </si>
  <si>
    <t>Koordination, Planung, Finanzen</t>
  </si>
  <si>
    <t xml:space="preserve">Verwaltung, EDV </t>
  </si>
  <si>
    <t>Personalmanagement</t>
  </si>
  <si>
    <t>Öffentlichkeitsarbeit</t>
  </si>
  <si>
    <t>Lektorierung</t>
  </si>
  <si>
    <t>Löschung</t>
  </si>
  <si>
    <t>Nur in die roten Zellen dürfen Zahlen eingesetzt werden!</t>
  </si>
  <si>
    <t>Klassifikation oder Beschlagwortung</t>
  </si>
  <si>
    <t>Katalogisierung / Fremddatenübernahme</t>
  </si>
  <si>
    <t>Fortsetzungslieferung</t>
  </si>
  <si>
    <t>Neuzugang insgesamt</t>
  </si>
  <si>
    <t>Bayern 
Ring 8 Bibl.</t>
  </si>
  <si>
    <t>Bayern 
Ring 11 Bibl.</t>
  </si>
  <si>
    <t>Lieferantenmahnung/-reklamation</t>
  </si>
  <si>
    <t>Bertelsmann Betriebsvergleich (17 Bibl.)</t>
  </si>
  <si>
    <t>Vergleichsring Düsseldorf (11 Bibl.)</t>
  </si>
  <si>
    <t>Minuten/Fall</t>
  </si>
  <si>
    <t>Prozent von Zwischen-
summe 1</t>
  </si>
  <si>
    <t>Anteil an
Arbeitskapazität
insgesamt</t>
  </si>
  <si>
    <t>Vergleichsring Lüneburg (8 Bibl.)</t>
  </si>
  <si>
    <t>Höherer Dienst</t>
  </si>
  <si>
    <t>Arbeitskapazität nach Gruppen</t>
  </si>
  <si>
    <t>Dipl.-Bibl.</t>
  </si>
  <si>
    <t>Fachangestellte für Medien und Informations-dienste</t>
  </si>
  <si>
    <t>Prozentanteil bzgl. Spalten C/G</t>
  </si>
  <si>
    <t>Kontrollspalte: Alle Werte müsssen 100 sein</t>
  </si>
  <si>
    <t>Erforderliche Arbeitskapazität in Vollzeitstellen bei 39-Stundenwoche</t>
  </si>
  <si>
    <t>Aufsichtsplatz</t>
  </si>
  <si>
    <t>Diese Tabelle gehört zum Handbuch: 
Erfolgreiches Management von Bibliotheken und Informationseinrichtungen / 
hrsg. von Cornelia Vonhof und Konrad Umlauf. Hamburg: Dashöfer. 
Die Loseblatt-Ausgabe umfasst vierteljährliche Aktualisierungen. 
Die Online-Ausgabe steht unter Das Bibliothekswissen
https://www.dashoefer.de/dasbibliothekswissen/
Erläuterungen zur Tabelle finden Sie im Handbuch unter 4.3.3.</t>
  </si>
  <si>
    <t>Scrollen Sie nach unten um die Tabelle auszufüllen.
Setzen Sie ab Zeile 30 die Werte für Ihre Bibliothek ein.
Setzen Sie Zahlen nur in die rot markierten Zellen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</si>
</sst>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%"/>
    <numFmt numFmtId="166" formatCode="#,##0.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61">
    <xf numFmtId="164" fontId="0" fillId="0" borderId="0" xfId="0"/>
    <xf numFmtId="164" fontId="1" fillId="0" borderId="2" xfId="0" applyFont="1" applyBorder="1"/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/>
    <xf numFmtId="164" fontId="1" fillId="0" borderId="3" xfId="0" applyFont="1" applyBorder="1"/>
    <xf numFmtId="164" fontId="1" fillId="0" borderId="2" xfId="0" applyFont="1" applyBorder="1" applyAlignment="1">
      <alignment horizontal="right"/>
    </xf>
    <xf numFmtId="164" fontId="1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vertical="top"/>
    </xf>
    <xf numFmtId="164" fontId="1" fillId="5" borderId="0" xfId="0" applyFont="1" applyFill="1" applyProtection="1">
      <protection locked="0"/>
    </xf>
    <xf numFmtId="164" fontId="1" fillId="0" borderId="4" xfId="0" applyFont="1" applyBorder="1" applyProtection="1">
      <protection locked="0"/>
    </xf>
    <xf numFmtId="164" fontId="1" fillId="0" borderId="0" xfId="0" applyFont="1" applyProtection="1">
      <protection locked="0"/>
    </xf>
    <xf numFmtId="3" fontId="1" fillId="0" borderId="4" xfId="0" applyNumberFormat="1" applyFont="1" applyBorder="1" applyProtection="1">
      <protection locked="0"/>
    </xf>
    <xf numFmtId="164" fontId="1" fillId="0" borderId="5" xfId="0" applyFont="1" applyBorder="1" applyProtection="1">
      <protection locked="0"/>
    </xf>
    <xf numFmtId="164" fontId="1" fillId="0" borderId="2" xfId="0" applyFont="1" applyBorder="1" applyProtection="1"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3" fontId="1" fillId="5" borderId="3" xfId="0" applyNumberFormat="1" applyFont="1" applyFill="1" applyBorder="1" applyAlignment="1" applyProtection="1">
      <alignment horizontal="right"/>
      <protection locked="0"/>
    </xf>
    <xf numFmtId="164" fontId="1" fillId="0" borderId="3" xfId="0" applyFont="1" applyBorder="1" applyProtection="1">
      <protection locked="0"/>
    </xf>
    <xf numFmtId="164" fontId="1" fillId="0" borderId="3" xfId="0" applyFont="1" applyBorder="1" applyAlignment="1" applyProtection="1">
      <alignment horizontal="left"/>
      <protection locked="0"/>
    </xf>
    <xf numFmtId="164" fontId="1" fillId="0" borderId="6" xfId="0" applyFont="1" applyBorder="1" applyProtection="1">
      <protection locked="0"/>
    </xf>
    <xf numFmtId="3" fontId="1" fillId="0" borderId="2" xfId="0" applyNumberFormat="1" applyFont="1" applyBorder="1" applyAlignment="1" applyProtection="1">
      <alignment horizontal="center" textRotation="90" wrapText="1"/>
      <protection locked="0"/>
    </xf>
    <xf numFmtId="164" fontId="1" fillId="0" borderId="1" xfId="0" applyFont="1" applyBorder="1" applyAlignment="1" applyProtection="1">
      <alignment textRotation="90" wrapText="1"/>
      <protection locked="0"/>
    </xf>
    <xf numFmtId="164" fontId="1" fillId="0" borderId="1" xfId="0" applyFont="1" applyBorder="1" applyAlignment="1" applyProtection="1">
      <alignment textRotation="90"/>
      <protection locked="0"/>
    </xf>
    <xf numFmtId="3" fontId="1" fillId="0" borderId="1" xfId="0" applyNumberFormat="1" applyFont="1" applyBorder="1" applyAlignment="1" applyProtection="1">
      <alignment textRotation="90" wrapText="1"/>
      <protection locked="0"/>
    </xf>
    <xf numFmtId="164" fontId="1" fillId="0" borderId="2" xfId="0" applyFont="1" applyBorder="1" applyAlignment="1" applyProtection="1">
      <alignment horizontal="center" textRotation="90" wrapText="1"/>
      <protection locked="0"/>
    </xf>
    <xf numFmtId="164" fontId="1" fillId="5" borderId="2" xfId="0" applyFont="1" applyFill="1" applyBorder="1" applyProtection="1">
      <protection locked="0"/>
    </xf>
    <xf numFmtId="164" fontId="1" fillId="2" borderId="2" xfId="0" applyFont="1" applyFill="1" applyBorder="1" applyProtection="1">
      <protection locked="0"/>
    </xf>
    <xf numFmtId="3" fontId="1" fillId="5" borderId="2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165" fontId="1" fillId="2" borderId="2" xfId="0" applyNumberFormat="1" applyFont="1" applyFill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164" fontId="1" fillId="3" borderId="2" xfId="0" applyFont="1" applyFill="1" applyBorder="1" applyProtection="1">
      <protection locked="0"/>
    </xf>
    <xf numFmtId="3" fontId="1" fillId="3" borderId="2" xfId="0" applyNumberFormat="1" applyFont="1" applyFill="1" applyBorder="1" applyProtection="1">
      <protection locked="0"/>
    </xf>
    <xf numFmtId="165" fontId="1" fillId="3" borderId="2" xfId="0" applyNumberFormat="1" applyFont="1" applyFill="1" applyBorder="1" applyProtection="1">
      <protection locked="0"/>
    </xf>
    <xf numFmtId="164" fontId="1" fillId="6" borderId="7" xfId="0" applyFont="1" applyFill="1" applyBorder="1" applyAlignment="1" applyProtection="1">
      <alignment horizontal="right" wrapText="1"/>
      <protection locked="0"/>
    </xf>
    <xf numFmtId="10" fontId="1" fillId="0" borderId="2" xfId="0" applyNumberFormat="1" applyFont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166" fontId="1" fillId="4" borderId="2" xfId="0" applyNumberFormat="1" applyFont="1" applyFill="1" applyBorder="1" applyProtection="1">
      <protection locked="0"/>
    </xf>
    <xf numFmtId="164" fontId="1" fillId="4" borderId="2" xfId="0" applyFont="1" applyFill="1" applyBorder="1" applyProtection="1">
      <protection locked="0"/>
    </xf>
    <xf numFmtId="164" fontId="2" fillId="8" borderId="3" xfId="0" applyFont="1" applyFill="1" applyBorder="1" applyAlignment="1">
      <alignment vertical="top" wrapText="1"/>
    </xf>
    <xf numFmtId="49" fontId="3" fillId="7" borderId="3" xfId="0" applyNumberFormat="1" applyFont="1" applyFill="1" applyBorder="1" applyAlignment="1">
      <alignment vertical="top" wrapText="1"/>
    </xf>
    <xf numFmtId="164" fontId="1" fillId="0" borderId="2" xfId="0" applyFont="1" applyBorder="1" applyAlignment="1">
      <alignment horizontal="center" vertical="center"/>
    </xf>
    <xf numFmtId="164" fontId="1" fillId="2" borderId="8" xfId="0" applyFont="1" applyFill="1" applyBorder="1" applyProtection="1">
      <protection locked="0"/>
    </xf>
    <xf numFmtId="164" fontId="1" fillId="0" borderId="10" xfId="0" applyFont="1" applyBorder="1" applyProtection="1">
      <protection locked="0"/>
    </xf>
    <xf numFmtId="164" fontId="1" fillId="3" borderId="8" xfId="0" applyFont="1" applyFill="1" applyBorder="1" applyProtection="1">
      <protection locked="0"/>
    </xf>
    <xf numFmtId="164" fontId="1" fillId="0" borderId="2" xfId="0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 textRotation="90" wrapText="1"/>
      <protection locked="0"/>
    </xf>
    <xf numFmtId="164" fontId="1" fillId="0" borderId="2" xfId="0" applyFont="1" applyBorder="1" applyAlignment="1" applyProtection="1">
      <alignment horizontal="center" textRotation="90" wrapText="1"/>
      <protection locked="0"/>
    </xf>
    <xf numFmtId="164" fontId="1" fillId="0" borderId="8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4" borderId="8" xfId="0" applyFont="1" applyFill="1" applyBorder="1" applyProtection="1">
      <protection locked="0"/>
    </xf>
    <xf numFmtId="164" fontId="1" fillId="0" borderId="9" xfId="0" applyFont="1" applyBorder="1" applyProtection="1">
      <protection locked="0"/>
    </xf>
    <xf numFmtId="164" fontId="1" fillId="0" borderId="8" xfId="0" applyFont="1" applyBorder="1" applyProtection="1">
      <protection locked="0"/>
    </xf>
    <xf numFmtId="49" fontId="1" fillId="0" borderId="8" xfId="0" applyNumberFormat="1" applyFont="1" applyBorder="1" applyAlignment="1" applyProtection="1">
      <alignment horizontal="left" textRotation="90"/>
      <protection locked="0"/>
    </xf>
    <xf numFmtId="164" fontId="1" fillId="0" borderId="10" xfId="0" applyFont="1" applyBorder="1" applyAlignment="1" applyProtection="1">
      <alignment textRotation="90"/>
      <protection locked="0"/>
    </xf>
    <xf numFmtId="164" fontId="1" fillId="4" borderId="9" xfId="0" applyFont="1" applyFill="1" applyBorder="1" applyProtection="1">
      <protection locked="0"/>
    </xf>
    <xf numFmtId="164" fontId="1" fillId="4" borderId="10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0</xdr:row>
      <xdr:rowOff>1828800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70C16A0-16F3-CE18-DEAB-D5BC9E9D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workbookViewId="0">
      <pane ySplit="1" topLeftCell="A2" activePane="bottomLeft" state="frozen"/>
      <selection pane="bottomLeft" activeCell="F35" sqref="F35"/>
    </sheetView>
  </sheetViews>
  <sheetFormatPr baseColWidth="10" defaultColWidth="11.5" defaultRowHeight="11" x14ac:dyDescent="0.15"/>
  <cols>
    <col min="1" max="1" width="30.1640625" style="5" customWidth="1"/>
    <col min="2" max="2" width="9.5" style="5" customWidth="1"/>
    <col min="3" max="3" width="7.5" style="5" customWidth="1"/>
    <col min="4" max="4" width="6.83203125" style="5" customWidth="1"/>
    <col min="5" max="5" width="10" style="5" customWidth="1"/>
    <col min="6" max="6" width="7.5" style="5" customWidth="1"/>
    <col min="7" max="7" width="11.6640625" style="5" customWidth="1"/>
    <col min="8" max="8" width="10.5" style="5" customWidth="1"/>
    <col min="9" max="9" width="7.5" style="5" customWidth="1"/>
    <col min="10" max="10" width="5.6640625" style="5" customWidth="1"/>
    <col min="11" max="11" width="10.5" style="5" customWidth="1"/>
    <col min="12" max="12" width="7.5" style="5" customWidth="1"/>
    <col min="13" max="13" width="5.6640625" style="5" customWidth="1"/>
    <col min="14" max="14" width="10.5" style="5" customWidth="1"/>
    <col min="15" max="16384" width="11.5" style="5"/>
  </cols>
  <sheetData>
    <row r="1" spans="1:16" s="11" customFormat="1" ht="155" customHeight="1" x14ac:dyDescent="0.15">
      <c r="A1" s="9"/>
      <c r="B1" s="42" t="s">
        <v>62</v>
      </c>
      <c r="C1" s="42"/>
      <c r="D1" s="42"/>
      <c r="E1" s="42"/>
      <c r="F1" s="42"/>
      <c r="G1" s="42"/>
      <c r="H1" s="42"/>
      <c r="I1" s="10"/>
      <c r="K1" s="43" t="s">
        <v>63</v>
      </c>
      <c r="L1" s="43"/>
      <c r="M1" s="43"/>
      <c r="N1" s="43"/>
    </row>
    <row r="2" spans="1:16" s="4" customFormat="1" ht="24" x14ac:dyDescent="0.15">
      <c r="A2" s="2"/>
      <c r="B2" s="3" t="s">
        <v>16</v>
      </c>
      <c r="C2" s="44" t="s">
        <v>15</v>
      </c>
      <c r="D2" s="44"/>
      <c r="E2" s="44"/>
      <c r="F2" s="44" t="s">
        <v>48</v>
      </c>
      <c r="G2" s="44"/>
      <c r="H2" s="44"/>
      <c r="I2" s="44" t="s">
        <v>49</v>
      </c>
      <c r="J2" s="44"/>
      <c r="K2" s="44"/>
      <c r="L2" s="51" t="s">
        <v>53</v>
      </c>
      <c r="M2" s="52"/>
      <c r="N2" s="53"/>
      <c r="O2" s="8" t="s">
        <v>45</v>
      </c>
      <c r="P2" s="8" t="s">
        <v>46</v>
      </c>
    </row>
    <row r="3" spans="1:16" s="4" customFormat="1" ht="24" x14ac:dyDescent="0.15">
      <c r="A3" s="2"/>
      <c r="B3" s="2" t="s">
        <v>0</v>
      </c>
      <c r="C3" s="2" t="s">
        <v>0</v>
      </c>
      <c r="D3" s="3" t="s">
        <v>31</v>
      </c>
      <c r="E3" s="3" t="s">
        <v>30</v>
      </c>
      <c r="F3" s="2" t="s">
        <v>0</v>
      </c>
      <c r="G3" s="3" t="s">
        <v>31</v>
      </c>
      <c r="H3" s="3" t="s">
        <v>30</v>
      </c>
      <c r="I3" s="2" t="s">
        <v>0</v>
      </c>
      <c r="J3" s="3" t="s">
        <v>31</v>
      </c>
      <c r="K3" s="3" t="s">
        <v>30</v>
      </c>
      <c r="L3" s="2" t="s">
        <v>0</v>
      </c>
      <c r="M3" s="3" t="s">
        <v>31</v>
      </c>
      <c r="N3" s="3" t="s">
        <v>30</v>
      </c>
      <c r="O3" s="4" t="s">
        <v>0</v>
      </c>
      <c r="P3" s="4" t="s">
        <v>0</v>
      </c>
    </row>
    <row r="4" spans="1:16" x14ac:dyDescent="0.15">
      <c r="A4" s="1" t="s">
        <v>1</v>
      </c>
      <c r="B4" s="1">
        <f>((C4*19)+(F4*17)+(L4*8))/44</f>
        <v>4.3022727272727277</v>
      </c>
      <c r="C4" s="1">
        <f t="shared" ref="C4:C13" si="0">((O4*8)+(P4*11))/19</f>
        <v>3.8789473684210529</v>
      </c>
      <c r="D4" s="1">
        <v>1</v>
      </c>
      <c r="E4" s="1">
        <v>15.1</v>
      </c>
      <c r="F4" s="1">
        <v>5.2</v>
      </c>
      <c r="G4" s="1">
        <v>1.91</v>
      </c>
      <c r="H4" s="1">
        <v>12</v>
      </c>
      <c r="I4" s="1"/>
      <c r="J4" s="1"/>
      <c r="K4" s="1"/>
      <c r="L4" s="1">
        <v>3.4</v>
      </c>
      <c r="M4" s="1"/>
      <c r="N4" s="1"/>
      <c r="O4" s="5">
        <v>5.5</v>
      </c>
      <c r="P4" s="5">
        <v>2.7</v>
      </c>
    </row>
    <row r="5" spans="1:16" x14ac:dyDescent="0.15">
      <c r="A5" s="1" t="s">
        <v>41</v>
      </c>
      <c r="B5" s="1">
        <f>((C5*19)+(F5*17)+(L5*8))/44</f>
        <v>2.5402272727272726</v>
      </c>
      <c r="C5" s="1">
        <f t="shared" si="0"/>
        <v>2.4526315789473685</v>
      </c>
      <c r="D5" s="1">
        <v>1</v>
      </c>
      <c r="E5" s="1">
        <v>4.4000000000000004</v>
      </c>
      <c r="F5" s="1">
        <v>2.61</v>
      </c>
      <c r="G5" s="1">
        <v>1.41</v>
      </c>
      <c r="H5" s="1">
        <v>4.38</v>
      </c>
      <c r="I5" s="1"/>
      <c r="J5" s="1"/>
      <c r="K5" s="1"/>
      <c r="L5" s="1">
        <v>2.6</v>
      </c>
      <c r="M5" s="1"/>
      <c r="N5" s="1"/>
      <c r="O5" s="5">
        <v>2.8</v>
      </c>
      <c r="P5" s="5">
        <v>2.2000000000000002</v>
      </c>
    </row>
    <row r="6" spans="1:16" x14ac:dyDescent="0.15">
      <c r="A6" s="1" t="s">
        <v>2</v>
      </c>
      <c r="B6" s="1">
        <f>((C6*19)+(F6*17)+(L6*8))/44</f>
        <v>1.6854545454545453</v>
      </c>
      <c r="C6" s="1">
        <f t="shared" si="0"/>
        <v>1.8473684210526315</v>
      </c>
      <c r="D6" s="1">
        <v>0.3</v>
      </c>
      <c r="E6" s="1">
        <v>5.5</v>
      </c>
      <c r="F6" s="1">
        <v>1.78</v>
      </c>
      <c r="G6" s="1">
        <v>0.26</v>
      </c>
      <c r="H6" s="1">
        <v>3.2</v>
      </c>
      <c r="I6" s="1"/>
      <c r="J6" s="1"/>
      <c r="K6" s="1"/>
      <c r="L6" s="1">
        <v>1.1000000000000001</v>
      </c>
      <c r="M6" s="1"/>
      <c r="N6" s="1"/>
      <c r="O6" s="5">
        <v>1.5</v>
      </c>
      <c r="P6" s="5">
        <v>2.1</v>
      </c>
    </row>
    <row r="7" spans="1:16" x14ac:dyDescent="0.15">
      <c r="A7" s="1" t="s">
        <v>47</v>
      </c>
      <c r="B7" s="1">
        <f>((C7*19)+(F7*17))/36</f>
        <v>12.459444444444445</v>
      </c>
      <c r="C7" s="1">
        <f t="shared" si="0"/>
        <v>19.026315789473685</v>
      </c>
      <c r="D7" s="1">
        <v>0.4</v>
      </c>
      <c r="E7" s="1">
        <v>79</v>
      </c>
      <c r="F7" s="1">
        <v>5.12</v>
      </c>
      <c r="G7" s="1">
        <v>0.54</v>
      </c>
      <c r="H7" s="1">
        <v>13.9</v>
      </c>
      <c r="I7" s="1"/>
      <c r="J7" s="1"/>
      <c r="K7" s="1"/>
      <c r="L7" s="1"/>
      <c r="M7" s="1"/>
      <c r="N7" s="1"/>
      <c r="O7" s="5">
        <v>32.4</v>
      </c>
      <c r="P7" s="5">
        <v>9.3000000000000007</v>
      </c>
    </row>
    <row r="8" spans="1:16" x14ac:dyDescent="0.15">
      <c r="A8" s="1" t="s">
        <v>3</v>
      </c>
      <c r="B8" s="1">
        <f>((C8*19)+(F8*17)+(L8*8))/44</f>
        <v>3.3079545454545456</v>
      </c>
      <c r="C8" s="1">
        <f t="shared" si="0"/>
        <v>5.1315789473684212</v>
      </c>
      <c r="D8" s="1">
        <v>0.5</v>
      </c>
      <c r="E8" s="1">
        <v>50</v>
      </c>
      <c r="F8" s="1">
        <v>1.65</v>
      </c>
      <c r="G8" s="1">
        <v>0.85</v>
      </c>
      <c r="H8" s="1">
        <v>3.15</v>
      </c>
      <c r="I8" s="1"/>
      <c r="J8" s="1"/>
      <c r="K8" s="1"/>
      <c r="L8" s="1">
        <v>2.5</v>
      </c>
      <c r="M8" s="1"/>
      <c r="N8" s="1"/>
      <c r="O8" s="5">
        <v>1.6</v>
      </c>
      <c r="P8" s="5">
        <v>7.7</v>
      </c>
    </row>
    <row r="9" spans="1:16" x14ac:dyDescent="0.15">
      <c r="A9" s="1" t="s">
        <v>42</v>
      </c>
      <c r="B9" s="1">
        <f>((C9*19)+(F9*17)+(I9*11)+(L9*8))/55</f>
        <v>3.5241818181818183</v>
      </c>
      <c r="C9" s="1">
        <f t="shared" si="0"/>
        <v>3.1052631578947367</v>
      </c>
      <c r="D9" s="1">
        <v>0.8</v>
      </c>
      <c r="E9" s="1">
        <v>6.6</v>
      </c>
      <c r="F9" s="1">
        <v>3.49</v>
      </c>
      <c r="G9" s="1">
        <v>0.82</v>
      </c>
      <c r="H9" s="1">
        <v>5.5</v>
      </c>
      <c r="I9" s="1">
        <v>4.0999999999999996</v>
      </c>
      <c r="J9" s="1">
        <v>2.2000000000000002</v>
      </c>
      <c r="K9" s="1">
        <v>6.6</v>
      </c>
      <c r="L9" s="1">
        <v>3.8</v>
      </c>
      <c r="M9" s="1"/>
      <c r="N9" s="1"/>
      <c r="O9" s="5">
        <v>2.7</v>
      </c>
      <c r="P9" s="5">
        <v>3.4</v>
      </c>
    </row>
    <row r="10" spans="1:16" x14ac:dyDescent="0.15">
      <c r="A10" s="1" t="s">
        <v>4</v>
      </c>
      <c r="B10" s="1">
        <f>((C10*19)+(F10*17)+(I10*11)+(L10*8))/55</f>
        <v>5.8361818181818181</v>
      </c>
      <c r="C10" s="1">
        <f t="shared" si="0"/>
        <v>3.1</v>
      </c>
      <c r="D10" s="1">
        <v>1.2</v>
      </c>
      <c r="E10" s="1">
        <v>9.5</v>
      </c>
      <c r="F10" s="1">
        <v>4.67</v>
      </c>
      <c r="G10" s="1">
        <v>1.99</v>
      </c>
      <c r="H10" s="1">
        <v>8.6999999999999993</v>
      </c>
      <c r="I10" s="1">
        <v>8.1</v>
      </c>
      <c r="J10" s="7">
        <v>3.4</v>
      </c>
      <c r="K10" s="7">
        <v>11.4</v>
      </c>
      <c r="L10" s="1">
        <v>11.7</v>
      </c>
      <c r="M10" s="1"/>
      <c r="N10" s="1"/>
      <c r="O10" s="5">
        <v>3.1</v>
      </c>
      <c r="P10" s="5">
        <v>3.1</v>
      </c>
    </row>
    <row r="11" spans="1:16" x14ac:dyDescent="0.15">
      <c r="A11" s="1" t="s">
        <v>5</v>
      </c>
      <c r="B11" s="1">
        <f>((C11*19)+(F11*17)+(L11*8))/44</f>
        <v>1.2595454545454545</v>
      </c>
      <c r="C11" s="1">
        <f t="shared" si="0"/>
        <v>1.3736842105263156</v>
      </c>
      <c r="D11" s="1">
        <v>0.1</v>
      </c>
      <c r="E11" s="1">
        <v>2.2999999999999998</v>
      </c>
      <c r="F11" s="1">
        <v>1.1599999999999999</v>
      </c>
      <c r="G11" s="1">
        <v>0.2</v>
      </c>
      <c r="H11" s="1">
        <v>2.9</v>
      </c>
      <c r="I11" s="1"/>
      <c r="J11" s="1"/>
      <c r="K11" s="1"/>
      <c r="L11" s="1">
        <v>1.2</v>
      </c>
      <c r="M11" s="1"/>
      <c r="N11" s="1"/>
      <c r="O11" s="5">
        <v>2.2999999999999998</v>
      </c>
      <c r="P11" s="5">
        <v>0.7</v>
      </c>
    </row>
    <row r="12" spans="1:16" x14ac:dyDescent="0.15">
      <c r="A12" s="1" t="s">
        <v>39</v>
      </c>
      <c r="B12" s="1">
        <f>((C12*19)+(F12*17)+(I12*11))/47</f>
        <v>2.0399574468085104</v>
      </c>
      <c r="C12" s="1">
        <f t="shared" si="0"/>
        <v>1.2583157894736843</v>
      </c>
      <c r="D12" s="1">
        <v>0.41</v>
      </c>
      <c r="E12" s="1">
        <v>2.4849999999999999</v>
      </c>
      <c r="F12" s="1">
        <v>1.71</v>
      </c>
      <c r="G12" s="1">
        <v>0.86</v>
      </c>
      <c r="H12" s="1">
        <v>2.7</v>
      </c>
      <c r="I12" s="1">
        <v>3.9</v>
      </c>
      <c r="J12" s="1">
        <v>2.1</v>
      </c>
      <c r="K12" s="1">
        <v>5.7</v>
      </c>
      <c r="L12" s="1"/>
      <c r="M12" s="1"/>
      <c r="N12" s="1"/>
      <c r="O12" s="5">
        <v>1.355</v>
      </c>
      <c r="P12" s="5">
        <v>1.1879999999999999</v>
      </c>
    </row>
    <row r="13" spans="1:16" x14ac:dyDescent="0.15">
      <c r="A13" s="1" t="s">
        <v>6</v>
      </c>
      <c r="B13" s="1">
        <f>((C13*19)+(F13*17))/36</f>
        <v>5.4105555555555558</v>
      </c>
      <c r="C13" s="1">
        <f t="shared" si="0"/>
        <v>5.7421052631578942</v>
      </c>
      <c r="D13" s="1">
        <v>0.7</v>
      </c>
      <c r="E13" s="1">
        <v>35.799999999999997</v>
      </c>
      <c r="F13" s="1">
        <v>5.04</v>
      </c>
      <c r="G13" s="1">
        <v>2.1800000000000002</v>
      </c>
      <c r="H13" s="1">
        <v>13</v>
      </c>
      <c r="I13" s="1"/>
      <c r="J13" s="1"/>
      <c r="K13" s="1"/>
      <c r="L13" s="1"/>
      <c r="M13" s="1"/>
      <c r="N13" s="1"/>
      <c r="O13" s="5">
        <v>3.6</v>
      </c>
      <c r="P13" s="5">
        <v>7.3</v>
      </c>
    </row>
    <row r="14" spans="1:16" x14ac:dyDescent="0.15">
      <c r="A14" s="1" t="s">
        <v>7</v>
      </c>
      <c r="B14" s="1">
        <f>F14</f>
        <v>0.34</v>
      </c>
      <c r="C14" s="1"/>
      <c r="D14" s="1"/>
      <c r="E14" s="1"/>
      <c r="F14" s="1">
        <v>0.34</v>
      </c>
      <c r="G14" s="1">
        <v>0.12</v>
      </c>
      <c r="H14" s="1">
        <v>0.86</v>
      </c>
      <c r="I14" s="1"/>
      <c r="J14" s="1"/>
      <c r="K14" s="1"/>
      <c r="L14" s="1"/>
      <c r="M14" s="1"/>
      <c r="N14" s="1"/>
    </row>
    <row r="15" spans="1:16" x14ac:dyDescent="0.15">
      <c r="A15" s="1" t="s">
        <v>8</v>
      </c>
      <c r="B15" s="1">
        <f>((C15*19)+(F15*17)+(I15*11)+(L15*8))/55</f>
        <v>0.56454545454545457</v>
      </c>
      <c r="C15" s="1">
        <f>((O15*8)+(P15*11))/19</f>
        <v>0.5</v>
      </c>
      <c r="D15" s="1">
        <v>0.2</v>
      </c>
      <c r="E15" s="1">
        <v>0.7</v>
      </c>
      <c r="F15" s="1">
        <v>0.55000000000000004</v>
      </c>
      <c r="G15" s="1">
        <v>0.23</v>
      </c>
      <c r="H15" s="1">
        <v>1</v>
      </c>
      <c r="I15" s="1">
        <v>0.6</v>
      </c>
      <c r="J15" s="7"/>
      <c r="K15" s="7"/>
      <c r="L15" s="1">
        <v>0.7</v>
      </c>
      <c r="M15" s="1">
        <v>0.3</v>
      </c>
      <c r="N15" s="1">
        <v>1.2</v>
      </c>
      <c r="O15" s="5">
        <v>0.5</v>
      </c>
      <c r="P15" s="5">
        <v>0.5</v>
      </c>
    </row>
    <row r="16" spans="1:16" x14ac:dyDescent="0.15">
      <c r="A16" s="1" t="s">
        <v>9</v>
      </c>
      <c r="B16" s="1">
        <f>((C16*19)+(F16*17)+(I16*11)+(L16*8))/55</f>
        <v>2.1514545454545453</v>
      </c>
      <c r="C16" s="1">
        <f>((O16*8)+(P16*11))/19</f>
        <v>1.8947368421052631</v>
      </c>
      <c r="D16" s="1">
        <v>0.5</v>
      </c>
      <c r="E16" s="1">
        <v>4</v>
      </c>
      <c r="F16" s="1">
        <v>2.59</v>
      </c>
      <c r="G16" s="1">
        <v>0.28999999999999998</v>
      </c>
      <c r="H16" s="1">
        <v>9.8699999999999992</v>
      </c>
      <c r="I16" s="1">
        <v>1.3</v>
      </c>
      <c r="J16" s="7"/>
      <c r="K16" s="7"/>
      <c r="L16" s="1">
        <v>3</v>
      </c>
      <c r="M16" s="1">
        <v>1.2</v>
      </c>
      <c r="N16" s="1">
        <v>8.6999999999999993</v>
      </c>
      <c r="O16" s="5">
        <v>2.2999999999999998</v>
      </c>
      <c r="P16" s="5">
        <v>1.6</v>
      </c>
    </row>
    <row r="17" spans="1:16" x14ac:dyDescent="0.15">
      <c r="A17" s="1" t="s">
        <v>10</v>
      </c>
      <c r="B17" s="1">
        <f>((F17*19)+(L17*8))/25</f>
        <v>9.9451999999999998</v>
      </c>
      <c r="C17" s="1"/>
      <c r="D17" s="1"/>
      <c r="E17" s="1"/>
      <c r="F17" s="1">
        <v>9.17</v>
      </c>
      <c r="G17" s="1">
        <v>2</v>
      </c>
      <c r="H17" s="1">
        <v>25.55</v>
      </c>
      <c r="I17" s="1"/>
      <c r="J17" s="1"/>
      <c r="K17" s="1"/>
      <c r="L17" s="1">
        <v>9.3000000000000007</v>
      </c>
      <c r="M17" s="1">
        <v>3.4</v>
      </c>
      <c r="N17" s="1">
        <v>23.2</v>
      </c>
    </row>
    <row r="18" spans="1:16" x14ac:dyDescent="0.15">
      <c r="A18" s="1" t="s">
        <v>11</v>
      </c>
      <c r="B18" s="1">
        <f>((C18*19)+(F18*17)+(I18*11))/47</f>
        <v>10.13404255319149</v>
      </c>
      <c r="C18" s="1">
        <f>((O18*8)+(P18*11))/19</f>
        <v>11.926315789473684</v>
      </c>
      <c r="D18" s="1">
        <v>1.1000000000000001</v>
      </c>
      <c r="E18" s="1">
        <v>75</v>
      </c>
      <c r="F18" s="1">
        <v>8.8000000000000007</v>
      </c>
      <c r="G18" s="1">
        <v>1.56</v>
      </c>
      <c r="H18" s="1">
        <v>21</v>
      </c>
      <c r="I18" s="1">
        <v>9.1</v>
      </c>
      <c r="J18" s="1">
        <v>6.2</v>
      </c>
      <c r="K18" s="1">
        <v>15.3</v>
      </c>
      <c r="L18" s="1"/>
      <c r="M18" s="1"/>
      <c r="N18" s="1"/>
      <c r="O18" s="5">
        <v>8.8000000000000007</v>
      </c>
      <c r="P18" s="5">
        <v>14.2</v>
      </c>
    </row>
    <row r="19" spans="1:16" x14ac:dyDescent="0.15">
      <c r="A19" s="1" t="s">
        <v>12</v>
      </c>
      <c r="B19" s="1">
        <f>F19</f>
        <v>2.35</v>
      </c>
      <c r="C19" s="1"/>
      <c r="D19" s="1"/>
      <c r="E19" s="1"/>
      <c r="F19" s="1">
        <v>2.35</v>
      </c>
      <c r="G19" s="1">
        <v>1.27</v>
      </c>
      <c r="H19" s="1">
        <v>3.82</v>
      </c>
      <c r="I19" s="1"/>
      <c r="J19" s="1"/>
      <c r="K19" s="1"/>
      <c r="L19" s="1"/>
      <c r="M19" s="1"/>
      <c r="N19" s="1"/>
    </row>
    <row r="20" spans="1:16" x14ac:dyDescent="0.15">
      <c r="A20" s="1" t="s">
        <v>13</v>
      </c>
      <c r="B20" s="1">
        <f>F20</f>
        <v>1.94</v>
      </c>
      <c r="C20" s="1"/>
      <c r="D20" s="1"/>
      <c r="E20" s="1"/>
      <c r="F20" s="1">
        <v>1.94</v>
      </c>
      <c r="G20" s="1">
        <v>1.07</v>
      </c>
      <c r="H20" s="1">
        <v>2.94</v>
      </c>
      <c r="I20" s="1"/>
      <c r="J20" s="1"/>
      <c r="K20" s="1"/>
      <c r="L20" s="1"/>
      <c r="M20" s="1"/>
      <c r="N20" s="1"/>
    </row>
    <row r="21" spans="1:16" x14ac:dyDescent="0.15">
      <c r="A21" s="1" t="s">
        <v>14</v>
      </c>
      <c r="B21" s="1">
        <f>F21</f>
        <v>0.5</v>
      </c>
      <c r="C21" s="1"/>
      <c r="D21" s="1"/>
      <c r="E21" s="1"/>
      <c r="F21" s="1">
        <v>0.5</v>
      </c>
      <c r="G21" s="7"/>
      <c r="H21" s="7"/>
      <c r="I21" s="1"/>
      <c r="J21" s="1"/>
      <c r="K21" s="1"/>
      <c r="L21" s="1"/>
      <c r="M21" s="1"/>
      <c r="N21" s="1"/>
    </row>
    <row r="22" spans="1:16" x14ac:dyDescent="0.15">
      <c r="A22" s="1" t="s">
        <v>43</v>
      </c>
      <c r="B22" s="1">
        <f>C22</f>
        <v>5.1368421052631579</v>
      </c>
      <c r="C22" s="1">
        <f>((O22*8)+(P22*11))/19</f>
        <v>5.1368421052631579</v>
      </c>
      <c r="D22" s="1">
        <v>0.7</v>
      </c>
      <c r="E22" s="1">
        <v>17.5</v>
      </c>
      <c r="F22" s="7"/>
      <c r="G22" s="7"/>
      <c r="H22" s="7"/>
      <c r="I22" s="7"/>
      <c r="J22" s="7"/>
      <c r="K22" s="7"/>
      <c r="L22" s="1"/>
      <c r="M22" s="1"/>
      <c r="N22" s="1"/>
      <c r="O22" s="5">
        <v>7.8</v>
      </c>
      <c r="P22" s="5">
        <v>3.2</v>
      </c>
    </row>
    <row r="23" spans="1:16" x14ac:dyDescent="0.15">
      <c r="A23" s="1" t="s">
        <v>38</v>
      </c>
      <c r="B23" s="1">
        <f>SUM(B4:B5)</f>
        <v>6.8425000000000002</v>
      </c>
      <c r="C23" s="1">
        <f t="shared" ref="C23:H23" si="1">SUM(C4:C5)</f>
        <v>6.3315789473684214</v>
      </c>
      <c r="D23" s="1">
        <f t="shared" si="1"/>
        <v>2</v>
      </c>
      <c r="E23" s="1">
        <f t="shared" si="1"/>
        <v>19.5</v>
      </c>
      <c r="F23" s="1">
        <f t="shared" si="1"/>
        <v>7.8100000000000005</v>
      </c>
      <c r="G23" s="1">
        <f t="shared" si="1"/>
        <v>3.32</v>
      </c>
      <c r="H23" s="1">
        <f t="shared" si="1"/>
        <v>16.38</v>
      </c>
      <c r="I23" s="1">
        <v>6.5</v>
      </c>
      <c r="J23" s="1">
        <v>3.9</v>
      </c>
      <c r="K23" s="1">
        <v>11.7</v>
      </c>
      <c r="L23" s="1">
        <f>SUM(L4:L5)</f>
        <v>6</v>
      </c>
      <c r="M23" s="1"/>
      <c r="N23" s="1"/>
    </row>
    <row r="24" spans="1:16" x14ac:dyDescent="0.15">
      <c r="A24" s="1" t="s">
        <v>17</v>
      </c>
      <c r="B24" s="1">
        <f>B6+B8+B9+B10+B11+(B7*0.1)</f>
        <v>16.859262626262627</v>
      </c>
      <c r="C24" s="1">
        <f t="shared" ref="C24:H24" si="2">C6+C8+C9+C10+C11+(C7*0.1)</f>
        <v>16.460526315789473</v>
      </c>
      <c r="D24" s="1">
        <f t="shared" si="2"/>
        <v>2.94</v>
      </c>
      <c r="E24" s="1">
        <f t="shared" si="2"/>
        <v>81.8</v>
      </c>
      <c r="F24" s="1">
        <f t="shared" si="2"/>
        <v>13.262</v>
      </c>
      <c r="G24" s="1">
        <f t="shared" si="2"/>
        <v>4.1740000000000004</v>
      </c>
      <c r="H24" s="1">
        <f t="shared" si="2"/>
        <v>24.839999999999996</v>
      </c>
      <c r="I24" s="1"/>
      <c r="J24" s="1"/>
      <c r="K24" s="1"/>
      <c r="L24" s="1">
        <f>L6+L8+L9+L10+L11+(L7*0.1)</f>
        <v>20.3</v>
      </c>
      <c r="M24" s="1"/>
      <c r="N24" s="1"/>
    </row>
    <row r="25" spans="1:16" x14ac:dyDescent="0.15">
      <c r="A25" s="1" t="s">
        <v>28</v>
      </c>
      <c r="B25" s="1">
        <f>(B14*0.1)+(B15*0.9)+(B16*0.1)+(B17*0.01)+(B18*0.02)+(B19*0.1)+(B20*0.1)+(B13*0.2)</f>
        <v>2.5704803258113049</v>
      </c>
      <c r="C25" s="1"/>
      <c r="D25" s="1"/>
      <c r="E25" s="1"/>
      <c r="F25" s="1">
        <f>(F14*0.1)+(F15*0.9)+(F16*0.1)+(F17*0.01)+(F18*0.02)+(F19*0.1)+(F20*0.1)+(F13*0.2)</f>
        <v>2.4927000000000001</v>
      </c>
      <c r="G25" s="1">
        <f>(G14*0.1)+(G15*0.9)+(G16*0.1)+(G17*0.01)+(G18*0.02)+(G19*0.1)+(G20*0.1)+(G13*0.2)</f>
        <v>0.96920000000000006</v>
      </c>
      <c r="H25" s="1">
        <f>(H14*0.1)+(H15*0.9)+(H16*0.1)+(H17*0.01)+(H18*0.02)+(H19*0.1)+(H20*0.1)+(H13*0.2)</f>
        <v>5.9245000000000001</v>
      </c>
      <c r="I25" s="1"/>
      <c r="J25" s="1"/>
      <c r="K25" s="1"/>
      <c r="L25" s="1"/>
      <c r="M25" s="1"/>
      <c r="N25" s="1"/>
    </row>
    <row r="26" spans="1:16" x14ac:dyDescent="0.15">
      <c r="A26" s="1" t="s">
        <v>44</v>
      </c>
      <c r="B26" s="1">
        <f t="shared" ref="B26:H26" si="3">B23+B24</f>
        <v>23.701762626262628</v>
      </c>
      <c r="C26" s="1">
        <f t="shared" si="3"/>
        <v>22.792105263157893</v>
      </c>
      <c r="D26" s="1">
        <f t="shared" si="3"/>
        <v>4.9399999999999995</v>
      </c>
      <c r="E26" s="1">
        <f t="shared" si="3"/>
        <v>101.3</v>
      </c>
      <c r="F26" s="1">
        <f t="shared" si="3"/>
        <v>21.072000000000003</v>
      </c>
      <c r="G26" s="1">
        <f t="shared" si="3"/>
        <v>7.4939999999999998</v>
      </c>
      <c r="H26" s="1">
        <f t="shared" si="3"/>
        <v>41.22</v>
      </c>
      <c r="I26" s="1">
        <v>22.8</v>
      </c>
      <c r="J26" s="1">
        <v>19.100000000000001</v>
      </c>
      <c r="K26" s="1">
        <v>26.8</v>
      </c>
      <c r="L26" s="1">
        <f>L23+L24</f>
        <v>26.3</v>
      </c>
      <c r="M26" s="1">
        <v>17</v>
      </c>
      <c r="N26" s="1">
        <v>35</v>
      </c>
    </row>
    <row r="29" spans="1:16" x14ac:dyDescent="0.15">
      <c r="A29" s="6"/>
      <c r="B29" s="6"/>
      <c r="C29" s="6"/>
      <c r="D29" s="6"/>
      <c r="E29" s="6"/>
      <c r="F29" s="6"/>
      <c r="G29" s="6"/>
      <c r="H29" s="6"/>
    </row>
    <row r="30" spans="1:16" s="14" customFormat="1" x14ac:dyDescent="0.15">
      <c r="A30" s="12" t="s">
        <v>40</v>
      </c>
      <c r="B30" s="12"/>
      <c r="C30" s="13"/>
      <c r="D30" s="13"/>
      <c r="F30" s="15"/>
      <c r="H30" s="16"/>
      <c r="I30" s="17"/>
      <c r="J30" s="17"/>
      <c r="K30" s="17"/>
      <c r="L30" s="17"/>
      <c r="M30" s="17"/>
      <c r="N30" s="17"/>
      <c r="O30" s="17"/>
    </row>
    <row r="31" spans="1:16" s="14" customFormat="1" x14ac:dyDescent="0.15">
      <c r="A31" s="18"/>
      <c r="C31" s="19">
        <v>35</v>
      </c>
      <c r="D31" s="20" t="s">
        <v>33</v>
      </c>
      <c r="E31" s="21"/>
      <c r="F31" s="21"/>
      <c r="G31" s="20"/>
      <c r="H31" s="22"/>
      <c r="I31" s="48" t="s">
        <v>58</v>
      </c>
      <c r="J31" s="48"/>
      <c r="K31" s="48"/>
      <c r="L31" s="49" t="s">
        <v>59</v>
      </c>
      <c r="M31" s="48" t="s">
        <v>55</v>
      </c>
      <c r="N31" s="48"/>
      <c r="O31" s="48"/>
    </row>
    <row r="32" spans="1:16" s="14" customFormat="1" ht="62.25" customHeight="1" x14ac:dyDescent="0.15">
      <c r="A32" s="57"/>
      <c r="B32" s="58"/>
      <c r="C32" s="24" t="s">
        <v>50</v>
      </c>
      <c r="D32" s="24" t="s">
        <v>51</v>
      </c>
      <c r="E32" s="25" t="s">
        <v>18</v>
      </c>
      <c r="F32" s="25" t="s">
        <v>19</v>
      </c>
      <c r="G32" s="26" t="s">
        <v>29</v>
      </c>
      <c r="H32" s="24" t="s">
        <v>52</v>
      </c>
      <c r="I32" s="23" t="s">
        <v>54</v>
      </c>
      <c r="J32" s="23" t="s">
        <v>56</v>
      </c>
      <c r="K32" s="23" t="s">
        <v>57</v>
      </c>
      <c r="L32" s="50"/>
      <c r="M32" s="27" t="s">
        <v>54</v>
      </c>
      <c r="N32" s="23" t="s">
        <v>56</v>
      </c>
      <c r="O32" s="23" t="s">
        <v>57</v>
      </c>
    </row>
    <row r="33" spans="1:15" s="14" customFormat="1" x14ac:dyDescent="0.15">
      <c r="A33" s="45" t="s">
        <v>20</v>
      </c>
      <c r="B33" s="46"/>
      <c r="C33" s="28">
        <v>23.702000000000002</v>
      </c>
      <c r="D33" s="29"/>
      <c r="E33" s="29"/>
      <c r="F33" s="30">
        <v>2500</v>
      </c>
      <c r="G33" s="31">
        <f>(C33*F33)/60</f>
        <v>987.58333333333348</v>
      </c>
      <c r="H33" s="32">
        <f t="shared" ref="H33:H44" si="4">G33/$G$45</f>
        <v>0.10463813315186993</v>
      </c>
      <c r="I33" s="33">
        <v>0</v>
      </c>
      <c r="J33" s="33">
        <v>29</v>
      </c>
      <c r="K33" s="33">
        <v>71</v>
      </c>
      <c r="L33" s="33">
        <f>I33+J33+K33</f>
        <v>100</v>
      </c>
      <c r="M33" s="33">
        <f t="shared" ref="M33:O35" si="5">$G33*I33/100</f>
        <v>0</v>
      </c>
      <c r="N33" s="33">
        <f t="shared" si="5"/>
        <v>286.3991666666667</v>
      </c>
      <c r="O33" s="33">
        <f t="shared" si="5"/>
        <v>701.18416666666667</v>
      </c>
    </row>
    <row r="34" spans="1:15" s="14" customFormat="1" x14ac:dyDescent="0.15">
      <c r="A34" s="45" t="s">
        <v>21</v>
      </c>
      <c r="B34" s="46"/>
      <c r="C34" s="28">
        <v>2.04</v>
      </c>
      <c r="D34" s="29"/>
      <c r="E34" s="29"/>
      <c r="F34" s="30">
        <v>2500</v>
      </c>
      <c r="G34" s="31">
        <f>(C34*F34)/60</f>
        <v>85</v>
      </c>
      <c r="H34" s="32">
        <f t="shared" si="4"/>
        <v>9.0060666454229443E-3</v>
      </c>
      <c r="I34" s="33">
        <v>0</v>
      </c>
      <c r="J34" s="33">
        <v>10</v>
      </c>
      <c r="K34" s="33">
        <v>90</v>
      </c>
      <c r="L34" s="33">
        <f>I34+J34+K34</f>
        <v>100</v>
      </c>
      <c r="M34" s="33">
        <f t="shared" si="5"/>
        <v>0</v>
      </c>
      <c r="N34" s="33">
        <f t="shared" si="5"/>
        <v>8.5</v>
      </c>
      <c r="O34" s="33">
        <f t="shared" si="5"/>
        <v>76.5</v>
      </c>
    </row>
    <row r="35" spans="1:15" s="14" customFormat="1" x14ac:dyDescent="0.15">
      <c r="A35" s="45" t="s">
        <v>22</v>
      </c>
      <c r="B35" s="46"/>
      <c r="C35" s="28">
        <v>2.57</v>
      </c>
      <c r="D35" s="29"/>
      <c r="E35" s="29"/>
      <c r="F35" s="30">
        <v>80000</v>
      </c>
      <c r="G35" s="31">
        <f>(C35*F35)/60</f>
        <v>3426.6666666666665</v>
      </c>
      <c r="H35" s="32">
        <f t="shared" si="4"/>
        <v>0.36306809848999161</v>
      </c>
      <c r="I35" s="33">
        <v>0</v>
      </c>
      <c r="J35" s="33">
        <v>3</v>
      </c>
      <c r="K35" s="33">
        <v>97</v>
      </c>
      <c r="L35" s="33">
        <f>I35+J35+K35</f>
        <v>100</v>
      </c>
      <c r="M35" s="33">
        <f t="shared" si="5"/>
        <v>0</v>
      </c>
      <c r="N35" s="33">
        <f t="shared" si="5"/>
        <v>102.8</v>
      </c>
      <c r="O35" s="33">
        <f t="shared" si="5"/>
        <v>3323.8666666666663</v>
      </c>
    </row>
    <row r="36" spans="1:15" s="14" customFormat="1" x14ac:dyDescent="0.15">
      <c r="A36" s="47" t="s">
        <v>23</v>
      </c>
      <c r="B36" s="46"/>
      <c r="C36" s="34"/>
      <c r="D36" s="34"/>
      <c r="E36" s="34"/>
      <c r="F36" s="34"/>
      <c r="G36" s="35">
        <f>SUM(G33:G35)</f>
        <v>4499.25</v>
      </c>
      <c r="H36" s="36">
        <f t="shared" si="4"/>
        <v>0.47671229828728451</v>
      </c>
      <c r="I36" s="33"/>
      <c r="J36" s="33"/>
      <c r="K36" s="33"/>
      <c r="L36" s="33"/>
      <c r="M36" s="35">
        <f>SUM(M33:M35)</f>
        <v>0</v>
      </c>
      <c r="N36" s="35">
        <f>SUM(N33:N35)</f>
        <v>397.69916666666671</v>
      </c>
      <c r="O36" s="35">
        <f>SUM(O33:O35)</f>
        <v>4101.5508333333328</v>
      </c>
    </row>
    <row r="37" spans="1:15" s="14" customFormat="1" ht="12" thickBot="1" x14ac:dyDescent="0.2">
      <c r="A37" s="45" t="s">
        <v>34</v>
      </c>
      <c r="B37" s="46"/>
      <c r="C37" s="29"/>
      <c r="D37" s="37">
        <v>7</v>
      </c>
      <c r="E37" s="29"/>
      <c r="F37" s="29"/>
      <c r="G37" s="31">
        <f>(G36*(D37/100))</f>
        <v>314.94750000000005</v>
      </c>
      <c r="H37" s="32">
        <f t="shared" si="4"/>
        <v>3.3369860880109917E-2</v>
      </c>
      <c r="I37" s="33">
        <v>20</v>
      </c>
      <c r="J37" s="33">
        <v>60</v>
      </c>
      <c r="K37" s="33">
        <v>20</v>
      </c>
      <c r="L37" s="33">
        <f>I37+J37+K37</f>
        <v>100</v>
      </c>
      <c r="M37" s="33">
        <f t="shared" ref="M37:O39" si="6">$G37*I37/100</f>
        <v>62.989500000000007</v>
      </c>
      <c r="N37" s="33">
        <f t="shared" si="6"/>
        <v>188.96850000000003</v>
      </c>
      <c r="O37" s="33">
        <f t="shared" si="6"/>
        <v>62.989500000000007</v>
      </c>
    </row>
    <row r="38" spans="1:15" s="14" customFormat="1" ht="12" thickBot="1" x14ac:dyDescent="0.2">
      <c r="A38" s="45" t="s">
        <v>35</v>
      </c>
      <c r="B38" s="46"/>
      <c r="C38" s="29"/>
      <c r="D38" s="37">
        <v>12.3</v>
      </c>
      <c r="E38" s="29"/>
      <c r="F38" s="29"/>
      <c r="G38" s="31">
        <f>(G36*(D38/100))</f>
        <v>553.40775000000008</v>
      </c>
      <c r="H38" s="32">
        <f t="shared" si="4"/>
        <v>5.8635612689336002E-2</v>
      </c>
      <c r="I38" s="33">
        <v>0</v>
      </c>
      <c r="J38" s="33">
        <v>70</v>
      </c>
      <c r="K38" s="33">
        <v>30</v>
      </c>
      <c r="L38" s="33">
        <f>I38+J38+K38</f>
        <v>100</v>
      </c>
      <c r="M38" s="33">
        <f t="shared" si="6"/>
        <v>0</v>
      </c>
      <c r="N38" s="33">
        <f t="shared" si="6"/>
        <v>387.38542500000005</v>
      </c>
      <c r="O38" s="33">
        <f t="shared" si="6"/>
        <v>166.02232500000002</v>
      </c>
    </row>
    <row r="39" spans="1:15" s="14" customFormat="1" ht="12" thickBot="1" x14ac:dyDescent="0.2">
      <c r="A39" s="45" t="s">
        <v>36</v>
      </c>
      <c r="B39" s="46"/>
      <c r="C39" s="29"/>
      <c r="D39" s="37">
        <v>10</v>
      </c>
      <c r="E39" s="29"/>
      <c r="F39" s="29"/>
      <c r="G39" s="31">
        <f>(G36*(D39/100))</f>
        <v>449.92500000000001</v>
      </c>
      <c r="H39" s="32">
        <f t="shared" si="4"/>
        <v>4.7671229828728449E-2</v>
      </c>
      <c r="I39" s="33">
        <v>20</v>
      </c>
      <c r="J39" s="33">
        <v>60</v>
      </c>
      <c r="K39" s="33">
        <v>20</v>
      </c>
      <c r="L39" s="33">
        <f>I39+J39+K39</f>
        <v>100</v>
      </c>
      <c r="M39" s="33">
        <f t="shared" si="6"/>
        <v>89.984999999999999</v>
      </c>
      <c r="N39" s="33">
        <f t="shared" si="6"/>
        <v>269.95499999999998</v>
      </c>
      <c r="O39" s="33">
        <f t="shared" si="6"/>
        <v>89.984999999999999</v>
      </c>
    </row>
    <row r="40" spans="1:15" s="14" customFormat="1" x14ac:dyDescent="0.15">
      <c r="A40" s="47" t="s">
        <v>24</v>
      </c>
      <c r="B40" s="46"/>
      <c r="C40" s="34"/>
      <c r="D40" s="34"/>
      <c r="E40" s="34"/>
      <c r="F40" s="34"/>
      <c r="G40" s="35">
        <f>SUM(G36:G39)</f>
        <v>5817.5302500000007</v>
      </c>
      <c r="H40" s="36">
        <f t="shared" si="4"/>
        <v>0.61638900168545896</v>
      </c>
      <c r="I40" s="33"/>
      <c r="J40" s="33"/>
      <c r="K40" s="33"/>
      <c r="L40" s="33"/>
      <c r="M40" s="35">
        <f>SUM(M36:M39)</f>
        <v>152.97450000000001</v>
      </c>
      <c r="N40" s="35">
        <f>SUM(N36:N39)</f>
        <v>1244.0080916666668</v>
      </c>
      <c r="O40" s="35">
        <f>SUM(O36:O39)</f>
        <v>4420.547658333332</v>
      </c>
    </row>
    <row r="41" spans="1:15" s="14" customFormat="1" x14ac:dyDescent="0.15">
      <c r="A41" s="45" t="s">
        <v>61</v>
      </c>
      <c r="B41" s="46"/>
      <c r="C41" s="29"/>
      <c r="D41" s="31"/>
      <c r="E41" s="31">
        <f>C31*50.49</f>
        <v>1767.15</v>
      </c>
      <c r="F41" s="28">
        <v>1</v>
      </c>
      <c r="G41" s="31">
        <f>E41*F41</f>
        <v>1767.15</v>
      </c>
      <c r="H41" s="32">
        <f t="shared" si="4"/>
        <v>0.18723612555834301</v>
      </c>
      <c r="I41" s="33">
        <v>0</v>
      </c>
      <c r="J41" s="33">
        <v>0</v>
      </c>
      <c r="K41" s="33">
        <v>100</v>
      </c>
      <c r="L41" s="33">
        <f>I41+J41+K41</f>
        <v>100</v>
      </c>
      <c r="M41" s="33">
        <f t="shared" ref="M41:O43" si="7">$G41*I41/100</f>
        <v>0</v>
      </c>
      <c r="N41" s="33">
        <f t="shared" si="7"/>
        <v>0</v>
      </c>
      <c r="O41" s="33">
        <f t="shared" si="7"/>
        <v>1767.15</v>
      </c>
    </row>
    <row r="42" spans="1:15" s="14" customFormat="1" x14ac:dyDescent="0.15">
      <c r="A42" s="45" t="s">
        <v>25</v>
      </c>
      <c r="B42" s="46"/>
      <c r="C42" s="29"/>
      <c r="D42" s="31"/>
      <c r="E42" s="31">
        <f>C31*50.49</f>
        <v>1767.15</v>
      </c>
      <c r="F42" s="28">
        <v>0.7</v>
      </c>
      <c r="G42" s="31">
        <f>E42*F42</f>
        <v>1237.0049999999999</v>
      </c>
      <c r="H42" s="32">
        <f t="shared" si="4"/>
        <v>0.1310652878908401</v>
      </c>
      <c r="I42" s="33">
        <v>0</v>
      </c>
      <c r="J42" s="33">
        <v>100</v>
      </c>
      <c r="K42" s="33">
        <v>0</v>
      </c>
      <c r="L42" s="33">
        <f>I42+J42+K42</f>
        <v>100</v>
      </c>
      <c r="M42" s="33">
        <f t="shared" si="7"/>
        <v>0</v>
      </c>
      <c r="N42" s="33">
        <f t="shared" si="7"/>
        <v>1237.0049999999999</v>
      </c>
      <c r="O42" s="33">
        <f t="shared" si="7"/>
        <v>0</v>
      </c>
    </row>
    <row r="43" spans="1:15" s="14" customFormat="1" x14ac:dyDescent="0.15">
      <c r="A43" s="45" t="s">
        <v>37</v>
      </c>
      <c r="B43" s="46"/>
      <c r="C43" s="29"/>
      <c r="D43" s="14">
        <v>13.7</v>
      </c>
      <c r="E43" s="31"/>
      <c r="F43" s="29"/>
      <c r="G43" s="31">
        <f>(G36*(D43/100))</f>
        <v>616.39724999999987</v>
      </c>
      <c r="H43" s="32">
        <f t="shared" si="4"/>
        <v>6.5309584865357956E-2</v>
      </c>
      <c r="I43" s="33">
        <v>20</v>
      </c>
      <c r="J43" s="33">
        <v>60</v>
      </c>
      <c r="K43" s="33">
        <v>20</v>
      </c>
      <c r="L43" s="33">
        <f>I43+J43+K43</f>
        <v>100</v>
      </c>
      <c r="M43" s="33">
        <f t="shared" si="7"/>
        <v>123.27944999999998</v>
      </c>
      <c r="N43" s="33">
        <f t="shared" si="7"/>
        <v>369.83834999999993</v>
      </c>
      <c r="O43" s="33">
        <f t="shared" si="7"/>
        <v>123.27944999999998</v>
      </c>
    </row>
    <row r="44" spans="1:15" s="14" customFormat="1" x14ac:dyDescent="0.15">
      <c r="A44" s="47" t="s">
        <v>26</v>
      </c>
      <c r="B44" s="46"/>
      <c r="C44" s="34"/>
      <c r="D44" s="34"/>
      <c r="E44" s="34"/>
      <c r="F44" s="34"/>
      <c r="G44" s="35">
        <f>SUM(G41:G43)</f>
        <v>3620.5522499999997</v>
      </c>
      <c r="H44" s="36">
        <f t="shared" si="4"/>
        <v>0.3836109983145411</v>
      </c>
      <c r="I44" s="17"/>
      <c r="J44" s="17"/>
      <c r="K44" s="17"/>
      <c r="L44" s="17"/>
      <c r="M44" s="35">
        <f>SUM(M41:M43)</f>
        <v>123.27944999999998</v>
      </c>
      <c r="N44" s="35">
        <f>SUM(N41:N43)</f>
        <v>1606.8433499999999</v>
      </c>
      <c r="O44" s="35">
        <f>SUM(O41:O43)</f>
        <v>1890.4294500000001</v>
      </c>
    </row>
    <row r="45" spans="1:15" s="14" customFormat="1" x14ac:dyDescent="0.15">
      <c r="A45" s="56" t="s">
        <v>27</v>
      </c>
      <c r="B45" s="46"/>
      <c r="C45" s="17"/>
      <c r="D45" s="17"/>
      <c r="E45" s="17"/>
      <c r="F45" s="17"/>
      <c r="G45" s="33">
        <f>G40+G44</f>
        <v>9438.0825000000004</v>
      </c>
      <c r="H45" s="38">
        <f>H40+H44</f>
        <v>1</v>
      </c>
      <c r="I45" s="17"/>
      <c r="J45" s="17"/>
      <c r="K45" s="17"/>
      <c r="L45" s="17"/>
      <c r="M45" s="33">
        <f>M40+M44</f>
        <v>276.25394999999997</v>
      </c>
      <c r="N45" s="33">
        <f>N40+N44</f>
        <v>2850.8514416666667</v>
      </c>
      <c r="O45" s="33">
        <f>O40+O44</f>
        <v>6310.9771083333326</v>
      </c>
    </row>
    <row r="46" spans="1:15" s="14" customFormat="1" x14ac:dyDescent="0.15">
      <c r="A46" s="54" t="s">
        <v>60</v>
      </c>
      <c r="B46" s="59"/>
      <c r="C46" s="59"/>
      <c r="D46" s="59"/>
      <c r="E46" s="60"/>
      <c r="F46" s="39"/>
      <c r="G46" s="40">
        <f>G45/1569</f>
        <v>6.0153489483747613</v>
      </c>
      <c r="H46" s="41"/>
      <c r="I46" s="17"/>
      <c r="J46" s="17"/>
      <c r="K46" s="17"/>
      <c r="L46" s="33">
        <f>((M46/G46)+(N46/G46)+(O46/G46))*100</f>
        <v>99.619047619047606</v>
      </c>
      <c r="M46" s="40">
        <f>M45/1575</f>
        <v>0.17539933333333332</v>
      </c>
      <c r="N46" s="40">
        <f>N45/1575</f>
        <v>1.8100644074074075</v>
      </c>
      <c r="O46" s="40">
        <f>O45/1575</f>
        <v>4.0069695925925926</v>
      </c>
    </row>
    <row r="47" spans="1:15" s="14" customFormat="1" x14ac:dyDescent="0.15">
      <c r="A47" s="54" t="s">
        <v>32</v>
      </c>
      <c r="B47" s="55"/>
      <c r="C47" s="55"/>
      <c r="D47" s="55"/>
      <c r="E47" s="46"/>
      <c r="F47" s="39"/>
      <c r="G47" s="40">
        <f>G45/1609</f>
        <v>5.8658064014916098</v>
      </c>
      <c r="H47" s="41"/>
      <c r="I47" s="17"/>
      <c r="J47" s="17"/>
      <c r="K47" s="17"/>
      <c r="L47" s="33">
        <f>((M47/G47)+(N47/G47)+(O47/G47))*100</f>
        <v>99.628482972136212</v>
      </c>
      <c r="M47" s="40">
        <f>M45/1615</f>
        <v>0.17105507739938078</v>
      </c>
      <c r="N47" s="40">
        <f>N45/1615</f>
        <v>1.7652330908152736</v>
      </c>
      <c r="O47" s="40">
        <f>O45/1615</f>
        <v>3.90772576367389</v>
      </c>
    </row>
  </sheetData>
  <sheetProtection algorithmName="SHA-512" hashValue="Uanm/FomuBwU6eGXP4rop65FtB8LSUXtwAEyDkEH2lqoV5s//wqIlG7d/vZZJo1lzTfAbzpYh6myfW5KgDzHIQ==" saltValue="VKineqUH0CfSlOG8yCq7OA==" spinCount="100000" sheet="1" objects="1" scenarios="1" selectLockedCells="1"/>
  <dataConsolidate/>
  <mergeCells count="25">
    <mergeCell ref="A47:E47"/>
    <mergeCell ref="A45:B45"/>
    <mergeCell ref="A32:B32"/>
    <mergeCell ref="A46:E46"/>
    <mergeCell ref="A41:B41"/>
    <mergeCell ref="A42:B42"/>
    <mergeCell ref="A43:B43"/>
    <mergeCell ref="A44:B44"/>
    <mergeCell ref="A37:B37"/>
    <mergeCell ref="A40:B40"/>
    <mergeCell ref="B1:H1"/>
    <mergeCell ref="K1:N1"/>
    <mergeCell ref="I2:K2"/>
    <mergeCell ref="A39:B39"/>
    <mergeCell ref="A38:B38"/>
    <mergeCell ref="A33:B33"/>
    <mergeCell ref="A34:B34"/>
    <mergeCell ref="A35:B35"/>
    <mergeCell ref="A36:B36"/>
    <mergeCell ref="M31:O31"/>
    <mergeCell ref="L31:L32"/>
    <mergeCell ref="I31:K31"/>
    <mergeCell ref="L2:N2"/>
    <mergeCell ref="F2:H2"/>
    <mergeCell ref="C2:E2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&amp;A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Inst. f. Bibl.-wissenschaft</dc:creator>
  <cp:lastModifiedBy>Konrad Umlauf</cp:lastModifiedBy>
  <cp:lastPrinted>1998-03-18T19:00:05Z</cp:lastPrinted>
  <dcterms:created xsi:type="dcterms:W3CDTF">1998-03-17T22:22:06Z</dcterms:created>
  <dcterms:modified xsi:type="dcterms:W3CDTF">2024-04-16T16:36:32Z</dcterms:modified>
</cp:coreProperties>
</file>