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3740" windowHeight="9660" activeTab="0"/>
  </bookViews>
  <sheets>
    <sheet name="Hauptstelle" sheetId="1" r:id="rId1"/>
    <sheet name="Sachbücher Hauptstelle" sheetId="2" r:id="rId2"/>
    <sheet name="Zweigstelle_1" sheetId="3" r:id="rId3"/>
    <sheet name="Zweigstelle_2" sheetId="4" r:id="rId4"/>
    <sheet name="Zweigstelle_3" sheetId="5" r:id="rId5"/>
    <sheet name="Zweigstelle_4" sheetId="6" r:id="rId6"/>
    <sheet name="Zweigstelle_5" sheetId="7" r:id="rId7"/>
    <sheet name="Zweigstelle_6" sheetId="8" r:id="rId8"/>
    <sheet name="Zweigstelle_7" sheetId="9" r:id="rId9"/>
    <sheet name="Zweigstelle_8" sheetId="10" r:id="rId10"/>
    <sheet name="Zweigstelle_9" sheetId="11" r:id="rId11"/>
  </sheets>
  <definedNames>
    <definedName name="Bestandsblöcke">#REF!</definedName>
    <definedName name="SachliteraturBibliotheken">#REF!</definedName>
  </definedNames>
  <calcPr fullCalcOnLoad="1"/>
</workbook>
</file>

<file path=xl/sharedStrings.xml><?xml version="1.0" encoding="utf-8"?>
<sst xmlns="http://schemas.openxmlformats.org/spreadsheetml/2006/main" count="683" uniqueCount="126">
  <si>
    <t>Sachbücher</t>
  </si>
  <si>
    <t>Belletristische Bücher</t>
  </si>
  <si>
    <t>Kinder- und Jugendbücher</t>
  </si>
  <si>
    <t>Medienpakete</t>
  </si>
  <si>
    <t>Noten</t>
  </si>
  <si>
    <t>Karten</t>
  </si>
  <si>
    <t>Summe</t>
  </si>
  <si>
    <t>Ausleihen</t>
  </si>
  <si>
    <t>Zweigstelle 1</t>
  </si>
  <si>
    <t>Zweigstelle 2</t>
  </si>
  <si>
    <t>Zweigstelle 3</t>
  </si>
  <si>
    <t>Zweigstelle 4</t>
  </si>
  <si>
    <t>Zweigstelle 5</t>
  </si>
  <si>
    <t>Zweigstelle 6</t>
  </si>
  <si>
    <t>Zweigstelle 7</t>
  </si>
  <si>
    <t>Zweigstelle 8</t>
  </si>
  <si>
    <t>Zweigstelle 9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</si>
  <si>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</si>
  <si>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</si>
  <si>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</si>
  <si>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</si>
  <si>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</si>
  <si>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</si>
  <si>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</si>
  <si>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</si>
  <si>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</si>
  <si>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</si>
  <si>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</si>
  <si>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</si>
  <si>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</si>
  <si>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</si>
  <si>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</si>
  <si>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</si>
  <si>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</si>
  <si>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</si>
  <si>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</si>
  <si>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</si>
  <si>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</si>
  <si>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</si>
  <si>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Bestand</t>
  </si>
  <si>
    <t>Hauptstelle</t>
  </si>
  <si>
    <t>CD Musik</t>
  </si>
  <si>
    <t>CD Belletristik</t>
  </si>
  <si>
    <t>CD Kinder u. Jugend</t>
  </si>
  <si>
    <t>MC Musik</t>
  </si>
  <si>
    <t>MC Belletristik</t>
  </si>
  <si>
    <t>MC Kinder u. Jugend</t>
  </si>
  <si>
    <t>CD-ROM Sachinfo</t>
  </si>
  <si>
    <t>CD-ROM K+J</t>
  </si>
  <si>
    <t>CD-ROM Spiele</t>
  </si>
  <si>
    <t>Spiele konventionell</t>
  </si>
  <si>
    <t>DVD Special Interest</t>
  </si>
  <si>
    <t>VHS-Video Special Interest</t>
  </si>
  <si>
    <t>DVD K+J</t>
  </si>
  <si>
    <t>DVD Spielfilme</t>
  </si>
  <si>
    <t>VHS-Video K+J</t>
  </si>
  <si>
    <t>VHS-Video Spielfilme</t>
  </si>
  <si>
    <t>N.N. 1</t>
  </si>
  <si>
    <t>N.N. 2</t>
  </si>
  <si>
    <t>Umsatz</t>
  </si>
  <si>
    <t>Verfügbarkeit %</t>
  </si>
  <si>
    <t>Bestandsanteil</t>
  </si>
  <si>
    <t>Ausleihanteil</t>
  </si>
  <si>
    <t>Zusammenfassung</t>
  </si>
  <si>
    <t>IST</t>
  </si>
  <si>
    <t>SOLL</t>
  </si>
  <si>
    <t>Preis</t>
  </si>
  <si>
    <t>Geplante Anzahl Jahre bis zur Erreichung der SOLL-Bestandsgrößen:</t>
  </si>
  <si>
    <t>Zwischenschritt 1</t>
  </si>
  <si>
    <t>Zwischenschritt 2</t>
  </si>
  <si>
    <t>Zwischenschritt 3</t>
  </si>
  <si>
    <t>Zwischenschritt 4</t>
  </si>
  <si>
    <t>Zwischenschritt 5</t>
  </si>
  <si>
    <t>Zwischenschritt 6</t>
  </si>
  <si>
    <t>Zwischenschritt 7</t>
  </si>
  <si>
    <t>Zwischenschritt 8</t>
  </si>
  <si>
    <t>Etatverteilung</t>
  </si>
  <si>
    <t>Gesamt</t>
  </si>
  <si>
    <t>IST
Verfügbarkeit %</t>
  </si>
  <si>
    <t>SOLL
Verfügbarkeit %</t>
  </si>
  <si>
    <t xml:space="preserve">IST
Umsatz
</t>
  </si>
  <si>
    <t xml:space="preserve">SOLL
Umsatz
</t>
  </si>
  <si>
    <t xml:space="preserve">SOLL
Bestand
</t>
  </si>
  <si>
    <t>%-
Anteil an
Gesamt</t>
  </si>
  <si>
    <t>Zweigstelle_1</t>
  </si>
  <si>
    <t>Summen</t>
  </si>
  <si>
    <t>Zweigstelle_2</t>
  </si>
  <si>
    <t>Zweigstelle_3</t>
  </si>
  <si>
    <t>Zweigstelle_4</t>
  </si>
  <si>
    <t>Zweigstelle_5</t>
  </si>
  <si>
    <t>Zweigstelle_6</t>
  </si>
  <si>
    <t>Zweigstelle_7</t>
  </si>
  <si>
    <t>Zweigstelle_8</t>
  </si>
  <si>
    <t>Zweigstelle_9</t>
  </si>
  <si>
    <t>Zur Verteilung stehender Erwerbungsetat (ohne EURO-Zeichen als nackte Zahl eingeben):</t>
  </si>
  <si>
    <t>Prozentsatz des Bestands, der mindestens jährlich aktualisiert werden soll:</t>
  </si>
  <si>
    <t>Leihfrist</t>
  </si>
  <si>
    <t>Zwischenschritt 9</t>
  </si>
  <si>
    <t>Bestand alle Medien</t>
  </si>
  <si>
    <t>Ausleihen alle Medien</t>
  </si>
  <si>
    <t>IST Umsatz</t>
  </si>
  <si>
    <t>IST Verfügbarkeit %</t>
  </si>
  <si>
    <t>Bestandsanteil %</t>
  </si>
  <si>
    <t>Ausleihanteil %</t>
  </si>
  <si>
    <t>Systematikgruppe</t>
  </si>
  <si>
    <t>Wird Rundung auf 10,00 EURO in der Etatverteilung gewünscht? Dann 10 eingeben.</t>
  </si>
  <si>
    <t>Summe kann</t>
  </si>
  <si>
    <t>wegen Rundungen</t>
  </si>
  <si>
    <t>vom eingegebenen</t>
  </si>
  <si>
    <t xml:space="preserve">Erwerbungsetat </t>
  </si>
  <si>
    <t>abweichen!</t>
  </si>
  <si>
    <t>ASB Sachbücher Hauptstelle</t>
  </si>
  <si>
    <t>Englische TB + Hardcover</t>
  </si>
  <si>
    <t>Interessenkreis SL</t>
  </si>
  <si>
    <t>Interessenkreis Krimi</t>
  </si>
  <si>
    <t>Interessenkreis Western</t>
  </si>
  <si>
    <t>Interessenkreis Science Fiction</t>
  </si>
  <si>
    <t>Interessenkreis Fantasy</t>
  </si>
  <si>
    <t>Interessenkreis engl. TB</t>
  </si>
  <si>
    <t>Interessenkreis franz. TB</t>
  </si>
  <si>
    <t>Interessenkreis Film TV</t>
  </si>
  <si>
    <t>Interessenkreis Freizeit</t>
  </si>
  <si>
    <t>Interessenkreis TB EDV</t>
  </si>
  <si>
    <t>Lücke</t>
  </si>
  <si>
    <t>Preise für 2010 nach ekz-ID Basis-Ausgabe</t>
  </si>
  <si>
    <t>Preise für 2010 nach ekz-ID Basis-Ausgabe bzw. für Zweigstellen: Auswahl-ID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</si>
</sst>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_-* #,##0.0\ _D_M_-;\-* #,##0.0\ _D_M_-;_-* &quot;-&quot;??\ _D_M_-;_-@_-"/>
    <numFmt numFmtId="182" formatCode="_-* #,##0\ _D_M_-;\-* #,##0\ _D_M_-;_-* &quot;-&quot;??\ _D_M_-;_-@_-"/>
    <numFmt numFmtId="183" formatCode="_-* #,##0.000\ &quot;DM&quot;_-;\-* #,##0.000\ &quot;DM&quot;_-;_-* &quot;-&quot;??\ &quot;DM&quot;_-;_-@_-"/>
    <numFmt numFmtId="184" formatCode="_-* #,##0.0\ &quot;DM&quot;_-;\-* #,##0.0\ &quot;DM&quot;_-;_-* &quot;-&quot;??\ &quot;DM&quot;_-;_-@_-"/>
    <numFmt numFmtId="185" formatCode="_-* #,##0\ &quot;DM&quot;_-;\-* #,##0\ &quot;DM&quot;_-;_-* &quot;-&quot;??\ &quot;DM&quot;_-;_-@_-"/>
    <numFmt numFmtId="186" formatCode="#,##0.00_ ;\-#,##0.00\ "/>
    <numFmt numFmtId="187" formatCode="#,##0.0"/>
    <numFmt numFmtId="188" formatCode="#,##0_ ;[Red]\-#,##0\ "/>
    <numFmt numFmtId="189" formatCode="#,##0.00\ [$€-1]"/>
    <numFmt numFmtId="190" formatCode="#,##0\ _D_M"/>
    <numFmt numFmtId="191" formatCode="#,##0\ [$€-1]"/>
    <numFmt numFmtId="192" formatCode="#,##0.00000"/>
    <numFmt numFmtId="193" formatCode="#,##0\ &quot;€&quot;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6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189" fontId="7" fillId="0" borderId="10" xfId="0" applyNumberFormat="1" applyFont="1" applyBorder="1" applyAlignment="1">
      <alignment horizontal="center"/>
    </xf>
    <xf numFmtId="3" fontId="7" fillId="0" borderId="10" xfId="42" applyNumberFormat="1" applyFont="1" applyBorder="1" applyAlignment="1">
      <alignment horizontal="center" wrapText="1"/>
    </xf>
    <xf numFmtId="3" fontId="7" fillId="0" borderId="10" xfId="59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/>
    </xf>
    <xf numFmtId="191" fontId="8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92" fontId="7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89" fontId="9" fillId="33" borderId="0" xfId="0" applyNumberFormat="1" applyFont="1" applyFill="1" applyBorder="1" applyAlignment="1">
      <alignment horizontal="right"/>
    </xf>
    <xf numFmtId="179" fontId="7" fillId="0" borderId="0" xfId="42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34" borderId="0" xfId="0" applyFont="1" applyFill="1" applyBorder="1" applyAlignment="1">
      <alignment/>
    </xf>
    <xf numFmtId="187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3" fontId="7" fillId="35" borderId="0" xfId="0" applyNumberFormat="1" applyFont="1" applyFill="1" applyAlignment="1">
      <alignment/>
    </xf>
    <xf numFmtId="3" fontId="7" fillId="35" borderId="0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179" fontId="6" fillId="0" borderId="13" xfId="42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/>
    </xf>
    <xf numFmtId="191" fontId="8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192" fontId="7" fillId="0" borderId="1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42" applyNumberFormat="1" applyFont="1" applyAlignment="1">
      <alignment/>
    </xf>
    <xf numFmtId="3" fontId="7" fillId="0" borderId="0" xfId="59" applyNumberFormat="1" applyFont="1" applyAlignment="1">
      <alignment/>
    </xf>
    <xf numFmtId="4" fontId="7" fillId="0" borderId="0" xfId="0" applyNumberFormat="1" applyFont="1" applyAlignment="1">
      <alignment/>
    </xf>
    <xf numFmtId="3" fontId="6" fillId="0" borderId="16" xfId="0" applyNumberFormat="1" applyFont="1" applyBorder="1" applyAlignment="1">
      <alignment vertical="top" textRotation="45"/>
    </xf>
    <xf numFmtId="3" fontId="6" fillId="0" borderId="16" xfId="0" applyNumberFormat="1" applyFont="1" applyBorder="1" applyAlignment="1">
      <alignment textRotation="45"/>
    </xf>
    <xf numFmtId="3" fontId="6" fillId="0" borderId="16" xfId="0" applyNumberFormat="1" applyFont="1" applyBorder="1" applyAlignment="1">
      <alignment horizontal="center" textRotation="45" wrapText="1"/>
    </xf>
    <xf numFmtId="3" fontId="6" fillId="0" borderId="16" xfId="42" applyNumberFormat="1" applyFont="1" applyBorder="1" applyAlignment="1">
      <alignment horizontal="center" textRotation="45"/>
    </xf>
    <xf numFmtId="3" fontId="6" fillId="0" borderId="16" xfId="59" applyNumberFormat="1" applyFont="1" applyBorder="1" applyAlignment="1">
      <alignment horizontal="center" textRotation="45" wrapText="1"/>
    </xf>
    <xf numFmtId="3" fontId="6" fillId="0" borderId="16" xfId="0" applyNumberFormat="1" applyFont="1" applyBorder="1" applyAlignment="1">
      <alignment horizontal="center" textRotation="45"/>
    </xf>
    <xf numFmtId="3" fontId="7" fillId="0" borderId="16" xfId="0" applyNumberFormat="1" applyFont="1" applyBorder="1" applyAlignment="1">
      <alignment horizontal="center" textRotation="45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3" fontId="7" fillId="0" borderId="16" xfId="0" applyNumberFormat="1" applyFont="1" applyBorder="1" applyAlignment="1">
      <alignment/>
    </xf>
    <xf numFmtId="179" fontId="7" fillId="0" borderId="16" xfId="42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91" fontId="8" fillId="0" borderId="16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179" fontId="6" fillId="0" borderId="16" xfId="42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3" fontId="6" fillId="0" borderId="16" xfId="59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79" fontId="6" fillId="0" borderId="0" xfId="42" applyNumberFormat="1" applyFont="1" applyAlignment="1">
      <alignment/>
    </xf>
    <xf numFmtId="3" fontId="6" fillId="0" borderId="0" xfId="59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87" fontId="7" fillId="0" borderId="13" xfId="0" applyNumberFormat="1" applyFont="1" applyBorder="1" applyAlignment="1">
      <alignment/>
    </xf>
    <xf numFmtId="3" fontId="7" fillId="0" borderId="13" xfId="42" applyNumberFormat="1" applyFont="1" applyBorder="1" applyAlignment="1">
      <alignment horizontal="right"/>
    </xf>
    <xf numFmtId="1" fontId="7" fillId="0" borderId="13" xfId="0" applyNumberFormat="1" applyFont="1" applyBorder="1" applyAlignment="1">
      <alignment/>
    </xf>
    <xf numFmtId="1" fontId="7" fillId="36" borderId="14" xfId="42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" fontId="7" fillId="0" borderId="0" xfId="42" applyNumberFormat="1" applyFont="1" applyFill="1" applyBorder="1" applyAlignment="1">
      <alignment/>
    </xf>
    <xf numFmtId="0" fontId="7" fillId="37" borderId="19" xfId="0" applyFont="1" applyFill="1" applyBorder="1" applyAlignment="1">
      <alignment/>
    </xf>
    <xf numFmtId="179" fontId="7" fillId="0" borderId="13" xfId="42" applyNumberFormat="1" applyFont="1" applyBorder="1" applyAlignment="1">
      <alignment/>
    </xf>
    <xf numFmtId="193" fontId="7" fillId="38" borderId="14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42" applyNumberFormat="1" applyFont="1" applyBorder="1" applyAlignment="1">
      <alignment/>
    </xf>
    <xf numFmtId="3" fontId="7" fillId="39" borderId="20" xfId="59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0" xfId="0" applyFont="1" applyBorder="1" applyAlignment="1">
      <alignment/>
    </xf>
    <xf numFmtId="191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9" fontId="6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/>
    </xf>
    <xf numFmtId="189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188" fontId="7" fillId="0" borderId="13" xfId="0" applyNumberFormat="1" applyFont="1" applyBorder="1" applyAlignment="1">
      <alignment/>
    </xf>
    <xf numFmtId="190" fontId="7" fillId="0" borderId="13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7" fillId="0" borderId="16" xfId="59" applyNumberFormat="1" applyFont="1" applyBorder="1" applyAlignment="1">
      <alignment/>
    </xf>
    <xf numFmtId="3" fontId="7" fillId="0" borderId="16" xfId="42" applyNumberFormat="1" applyFont="1" applyBorder="1" applyAlignment="1">
      <alignment horizontal="center"/>
    </xf>
    <xf numFmtId="3" fontId="7" fillId="0" borderId="16" xfId="59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92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89" fontId="7" fillId="0" borderId="16" xfId="0" applyNumberFormat="1" applyFont="1" applyBorder="1" applyAlignment="1">
      <alignment/>
    </xf>
    <xf numFmtId="3" fontId="7" fillId="0" borderId="16" xfId="42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192" fontId="7" fillId="0" borderId="0" xfId="0" applyNumberFormat="1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187" fontId="7" fillId="0" borderId="16" xfId="0" applyNumberFormat="1" applyFont="1" applyBorder="1" applyAlignment="1">
      <alignment/>
    </xf>
    <xf numFmtId="189" fontId="9" fillId="33" borderId="16" xfId="0" applyNumberFormat="1" applyFont="1" applyFill="1" applyBorder="1" applyAlignment="1">
      <alignment horizontal="right"/>
    </xf>
    <xf numFmtId="187" fontId="7" fillId="0" borderId="16" xfId="0" applyNumberFormat="1" applyFont="1" applyBorder="1" applyAlignment="1">
      <alignment/>
    </xf>
    <xf numFmtId="1" fontId="6" fillId="0" borderId="16" xfId="0" applyNumberFormat="1" applyFont="1" applyFill="1" applyBorder="1" applyAlignment="1">
      <alignment/>
    </xf>
    <xf numFmtId="187" fontId="6" fillId="0" borderId="16" xfId="0" applyNumberFormat="1" applyFont="1" applyBorder="1" applyAlignment="1">
      <alignment/>
    </xf>
    <xf numFmtId="189" fontId="6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88" fontId="6" fillId="0" borderId="16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179" fontId="7" fillId="0" borderId="0" xfId="42" applyNumberFormat="1" applyFont="1" applyAlignment="1">
      <alignment/>
    </xf>
    <xf numFmtId="192" fontId="7" fillId="0" borderId="0" xfId="0" applyNumberFormat="1" applyFont="1" applyAlignment="1">
      <alignment/>
    </xf>
    <xf numFmtId="3" fontId="7" fillId="0" borderId="0" xfId="42" applyNumberFormat="1" applyFont="1" applyAlignment="1">
      <alignment horizontal="right"/>
    </xf>
    <xf numFmtId="1" fontId="7" fillId="0" borderId="0" xfId="42" applyNumberFormat="1" applyFont="1" applyFill="1" applyAlignment="1">
      <alignment/>
    </xf>
    <xf numFmtId="187" fontId="7" fillId="0" borderId="0" xfId="42" applyNumberFormat="1" applyFont="1" applyFill="1" applyBorder="1" applyAlignment="1">
      <alignment horizontal="left"/>
    </xf>
    <xf numFmtId="3" fontId="1" fillId="0" borderId="16" xfId="0" applyNumberFormat="1" applyFont="1" applyBorder="1" applyAlignment="1">
      <alignment horizontal="left" textRotation="45"/>
    </xf>
    <xf numFmtId="1" fontId="7" fillId="34" borderId="16" xfId="0" applyNumberFormat="1" applyFont="1" applyFill="1" applyBorder="1" applyAlignment="1">
      <alignment horizontal="right" wrapText="1"/>
    </xf>
    <xf numFmtId="3" fontId="7" fillId="13" borderId="0" xfId="0" applyNumberFormat="1" applyFont="1" applyFill="1" applyAlignment="1">
      <alignment/>
    </xf>
    <xf numFmtId="3" fontId="7" fillId="13" borderId="16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30" zoomScaleNormal="130" zoomScalePageLayoutView="0" workbookViewId="0" topLeftCell="A1">
      <selection activeCell="G38" sqref="G38"/>
    </sheetView>
  </sheetViews>
  <sheetFormatPr defaultColWidth="11.421875" defaultRowHeight="12.75"/>
  <cols>
    <col min="1" max="1" width="18.57421875" style="16" customWidth="1"/>
    <col min="2" max="2" width="6.140625" style="16" customWidth="1"/>
    <col min="3" max="3" width="8.00390625" style="16" bestFit="1" customWidth="1"/>
    <col min="4" max="4" width="9.140625" style="16" bestFit="1" customWidth="1"/>
    <col min="5" max="5" width="9.7109375" style="16" bestFit="1" customWidth="1"/>
    <col min="6" max="6" width="5.140625" style="16" customWidth="1"/>
    <col min="7" max="7" width="7.28125" style="45" bestFit="1" customWidth="1"/>
    <col min="8" max="8" width="6.28125" style="16" bestFit="1" customWidth="1"/>
    <col min="9" max="9" width="12.421875" style="16" bestFit="1" customWidth="1"/>
    <col min="10" max="10" width="12.421875" style="46" bestFit="1" customWidth="1"/>
    <col min="11" max="11" width="6.28125" style="16" bestFit="1" customWidth="1"/>
    <col min="12" max="12" width="8.00390625" style="16" bestFit="1" customWidth="1"/>
    <col min="13" max="13" width="6.00390625" style="16" bestFit="1" customWidth="1"/>
    <col min="14" max="14" width="14.421875" style="16" bestFit="1" customWidth="1"/>
    <col min="15" max="21" width="13.7109375" style="16" bestFit="1" customWidth="1"/>
    <col min="22" max="22" width="13.57421875" style="16" bestFit="1" customWidth="1"/>
    <col min="23" max="23" width="13.00390625" style="16" customWidth="1"/>
    <col min="24" max="16384" width="11.421875" style="16" customWidth="1"/>
  </cols>
  <sheetData>
    <row r="1" spans="1:23" s="15" customFormat="1" ht="35.25" customHeight="1">
      <c r="A1" s="1" t="s">
        <v>40</v>
      </c>
      <c r="B1" s="2" t="s">
        <v>96</v>
      </c>
      <c r="C1" s="3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10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6" t="s">
        <v>0</v>
      </c>
      <c r="B2" s="16">
        <f>'Sachbücher Hauptstelle'!B25</f>
        <v>28</v>
      </c>
      <c r="C2" s="17">
        <f>'Sachbücher Hauptstelle'!C25</f>
        <v>52357</v>
      </c>
      <c r="D2" s="18">
        <f aca="true" t="shared" si="0" ref="D2:D36">C2/$C$50*100</f>
        <v>22.08345459683576</v>
      </c>
      <c r="E2" s="17">
        <f>'Sachbücher Hauptstelle'!E25</f>
        <v>153777</v>
      </c>
      <c r="F2" s="18">
        <f aca="true" t="shared" si="1" ref="F2:F36">E2/$E$50*100</f>
        <v>14.832101158870934</v>
      </c>
      <c r="G2" s="19">
        <v>18.47</v>
      </c>
      <c r="H2" s="20">
        <f aca="true" t="shared" si="2" ref="H2:H36">E2/C2</f>
        <v>2.9370857764959797</v>
      </c>
      <c r="I2" s="21">
        <f aca="true" t="shared" si="3" ref="I2:I37">((365-(H2*B2))*100)/365</f>
        <v>77.4689310296199</v>
      </c>
      <c r="J2" s="22">
        <v>78</v>
      </c>
      <c r="K2" s="23">
        <f>((100-J2)*365)/(100*30)</f>
        <v>2.6766666666666667</v>
      </c>
      <c r="L2" s="24">
        <f aca="true" t="shared" si="4" ref="L2:L36">IF($O$37=0,"0",(O2/$O$37)*$C$37)</f>
        <v>59016.8315087724</v>
      </c>
      <c r="M2" s="25">
        <f aca="true" t="shared" si="5" ref="M2:M36">L2-C2</f>
        <v>6659.831508772397</v>
      </c>
      <c r="N2" s="26">
        <f>ROUND(V2*Hauptstelle!$J$54,Hauptstelle!W51)</f>
        <v>26300</v>
      </c>
      <c r="O2" s="27">
        <f aca="true" t="shared" si="6" ref="O2:O36">E2/K2</f>
        <v>57450.93399750934</v>
      </c>
      <c r="P2" s="24">
        <f aca="true" t="shared" si="7" ref="P2:P36">IF(M2&lt;0,0,M2)</f>
        <v>6659.831508772397</v>
      </c>
      <c r="Q2" s="24">
        <f>(P2*(1/Hauptstelle!$J$52))+((L2/100)*Hauptstelle!$J$53)</f>
        <v>3616.824726315859</v>
      </c>
      <c r="R2" s="28">
        <f aca="true" t="shared" si="8" ref="R2:R36">Q2*G2</f>
        <v>66802.75269505392</v>
      </c>
      <c r="S2" s="29">
        <f aca="true" t="shared" si="9" ref="S2:S36">R2/$R$47</f>
        <v>0.3082437379203965</v>
      </c>
      <c r="T2" s="28">
        <f aca="true" t="shared" si="10" ref="T2:T36">E2*G2</f>
        <v>2840261.19</v>
      </c>
      <c r="U2" s="29">
        <f aca="true" t="shared" si="11" ref="U2:U36">T2/$T$47</f>
        <v>0.2182122373580719</v>
      </c>
      <c r="V2" s="29">
        <f aca="true" t="shared" si="12" ref="V2:V36">(S2+U2)/2</f>
        <v>0.2632279876392342</v>
      </c>
      <c r="W2" s="16">
        <f aca="true" t="shared" si="13" ref="W2:W36">B2*E2</f>
        <v>4305756</v>
      </c>
    </row>
    <row r="3" spans="1:23" ht="9">
      <c r="A3" s="134" t="s">
        <v>1</v>
      </c>
      <c r="B3" s="30">
        <v>28</v>
      </c>
      <c r="C3" s="31">
        <v>14765</v>
      </c>
      <c r="D3" s="18">
        <f t="shared" si="0"/>
        <v>6.227671698574785</v>
      </c>
      <c r="E3" s="30">
        <v>84678</v>
      </c>
      <c r="F3" s="18">
        <f t="shared" si="1"/>
        <v>8.167363532458513</v>
      </c>
      <c r="G3" s="19">
        <v>14.83</v>
      </c>
      <c r="H3" s="20">
        <f t="shared" si="2"/>
        <v>5.735049102607518</v>
      </c>
      <c r="I3" s="21">
        <f t="shared" si="3"/>
        <v>56.005102774517674</v>
      </c>
      <c r="J3" s="22">
        <v>60</v>
      </c>
      <c r="K3" s="23">
        <f aca="true" t="shared" si="14" ref="K3:K36">((100-J3)*365)/(100*30)</f>
        <v>4.866666666666666</v>
      </c>
      <c r="L3" s="24">
        <f t="shared" si="4"/>
        <v>17873.83673875096</v>
      </c>
      <c r="M3" s="25">
        <f t="shared" si="5"/>
        <v>3108.8367387509606</v>
      </c>
      <c r="N3" s="26">
        <f>ROUND(V3*Hauptstelle!$J$54,Hauptstelle!W51)</f>
        <v>8900</v>
      </c>
      <c r="O3" s="27">
        <f t="shared" si="6"/>
        <v>17399.589041095893</v>
      </c>
      <c r="P3" s="24">
        <f t="shared" si="7"/>
        <v>3108.8367387509606</v>
      </c>
      <c r="Q3" s="24">
        <f>(P3*(1/Hauptstelle!$J$52))+((L3/100)*Hauptstelle!$J$53)</f>
        <v>1204.575510812644</v>
      </c>
      <c r="R3" s="28">
        <f t="shared" si="8"/>
        <v>17863.85482535151</v>
      </c>
      <c r="S3" s="29">
        <f t="shared" si="9"/>
        <v>0.08242806116343403</v>
      </c>
      <c r="T3" s="28">
        <f t="shared" si="10"/>
        <v>1255774.74</v>
      </c>
      <c r="U3" s="29">
        <f t="shared" si="11"/>
        <v>0.09647894940012579</v>
      </c>
      <c r="V3" s="29">
        <f t="shared" si="12"/>
        <v>0.08945350528177991</v>
      </c>
      <c r="W3" s="16">
        <f t="shared" si="13"/>
        <v>2370984</v>
      </c>
    </row>
    <row r="4" spans="1:23" ht="9">
      <c r="A4" s="134" t="s">
        <v>2</v>
      </c>
      <c r="B4" s="30">
        <v>28</v>
      </c>
      <c r="C4" s="31">
        <v>21567</v>
      </c>
      <c r="D4" s="18">
        <f t="shared" si="0"/>
        <v>9.096660719482722</v>
      </c>
      <c r="E4" s="30">
        <v>87955</v>
      </c>
      <c r="F4" s="18">
        <f t="shared" si="1"/>
        <v>8.483436778116968</v>
      </c>
      <c r="G4" s="19">
        <v>11.41</v>
      </c>
      <c r="H4" s="20">
        <f t="shared" si="2"/>
        <v>4.078221356702369</v>
      </c>
      <c r="I4" s="21">
        <f t="shared" si="3"/>
        <v>68.71501424995442</v>
      </c>
      <c r="J4" s="22">
        <v>60</v>
      </c>
      <c r="K4" s="23">
        <f t="shared" si="14"/>
        <v>4.866666666666666</v>
      </c>
      <c r="L4" s="24">
        <f t="shared" si="4"/>
        <v>18565.54607285057</v>
      </c>
      <c r="M4" s="25">
        <f t="shared" si="5"/>
        <v>-3001.4539271494286</v>
      </c>
      <c r="N4" s="26">
        <f>ROUND(V4*Hauptstelle!$J$54,Hauptstelle!W51)</f>
        <v>6300</v>
      </c>
      <c r="O4" s="27">
        <f t="shared" si="6"/>
        <v>18072.945205479453</v>
      </c>
      <c r="P4" s="24">
        <f t="shared" si="7"/>
        <v>0</v>
      </c>
      <c r="Q4" s="24">
        <f>(P4*(1/Hauptstelle!$J$52))+((L4/100)*Hauptstelle!$J$53)</f>
        <v>928.2773036425285</v>
      </c>
      <c r="R4" s="28">
        <f t="shared" si="8"/>
        <v>10591.64403456125</v>
      </c>
      <c r="S4" s="29">
        <f t="shared" si="9"/>
        <v>0.048872356545528337</v>
      </c>
      <c r="T4" s="28">
        <f t="shared" si="10"/>
        <v>1003566.55</v>
      </c>
      <c r="U4" s="29">
        <f t="shared" si="11"/>
        <v>0.07710224080244583</v>
      </c>
      <c r="V4" s="29">
        <f t="shared" si="12"/>
        <v>0.06298729867398709</v>
      </c>
      <c r="W4" s="16">
        <f t="shared" si="13"/>
        <v>2462740</v>
      </c>
    </row>
    <row r="5" spans="1:23" ht="9">
      <c r="A5" s="134" t="s">
        <v>112</v>
      </c>
      <c r="B5" s="30">
        <v>28</v>
      </c>
      <c r="C5" s="31">
        <v>2657</v>
      </c>
      <c r="D5" s="18">
        <f t="shared" si="0"/>
        <v>1.1206856554766815</v>
      </c>
      <c r="E5" s="30">
        <v>8761</v>
      </c>
      <c r="F5" s="18">
        <f t="shared" si="1"/>
        <v>0.8450160833731198</v>
      </c>
      <c r="G5" s="19">
        <v>13.61</v>
      </c>
      <c r="H5" s="20">
        <f t="shared" si="2"/>
        <v>3.297327813323297</v>
      </c>
      <c r="I5" s="21">
        <f t="shared" si="3"/>
        <v>74.70543047313636</v>
      </c>
      <c r="J5" s="22">
        <v>52</v>
      </c>
      <c r="K5" s="23">
        <f t="shared" si="14"/>
        <v>5.84</v>
      </c>
      <c r="L5" s="24">
        <f t="shared" si="4"/>
        <v>1541.0602878767916</v>
      </c>
      <c r="M5" s="25">
        <f t="shared" si="5"/>
        <v>-1115.9397121232084</v>
      </c>
      <c r="N5" s="26">
        <f>ROUND(V5*Hauptstelle!$J$54,Hauptstelle!W51)</f>
        <v>700</v>
      </c>
      <c r="O5" s="27">
        <f t="shared" si="6"/>
        <v>1500.1712328767123</v>
      </c>
      <c r="P5" s="24">
        <f t="shared" si="7"/>
        <v>0</v>
      </c>
      <c r="Q5" s="24">
        <f>(P5*(1/Hauptstelle!$J$52))+((L5/100)*Hauptstelle!$J$53)</f>
        <v>77.05301439383958</v>
      </c>
      <c r="R5" s="28">
        <f t="shared" si="8"/>
        <v>1048.6915259001566</v>
      </c>
      <c r="S5" s="29">
        <f t="shared" si="9"/>
        <v>0.0048389113146956025</v>
      </c>
      <c r="T5" s="28">
        <f t="shared" si="10"/>
        <v>119237.20999999999</v>
      </c>
      <c r="U5" s="29">
        <f t="shared" si="11"/>
        <v>0.009160783684980136</v>
      </c>
      <c r="V5" s="29">
        <f t="shared" si="12"/>
        <v>0.006999847499837869</v>
      </c>
      <c r="W5" s="16">
        <f t="shared" si="13"/>
        <v>245308</v>
      </c>
    </row>
    <row r="6" spans="1:23" ht="9">
      <c r="A6" s="134" t="s">
        <v>3</v>
      </c>
      <c r="B6" s="30">
        <v>28</v>
      </c>
      <c r="C6" s="31">
        <v>1987</v>
      </c>
      <c r="D6" s="18">
        <f t="shared" si="0"/>
        <v>0.8380889715589636</v>
      </c>
      <c r="E6" s="30">
        <v>5488</v>
      </c>
      <c r="F6" s="18">
        <f t="shared" si="1"/>
        <v>0.5293286457655155</v>
      </c>
      <c r="G6" s="19">
        <v>51.13</v>
      </c>
      <c r="H6" s="20">
        <f t="shared" si="2"/>
        <v>2.761952692501258</v>
      </c>
      <c r="I6" s="21">
        <f t="shared" si="3"/>
        <v>78.81241770136022</v>
      </c>
      <c r="J6" s="22">
        <v>73</v>
      </c>
      <c r="K6" s="23">
        <f t="shared" si="14"/>
        <v>3.285</v>
      </c>
      <c r="L6" s="24">
        <f t="shared" si="4"/>
        <v>1716.159009725999</v>
      </c>
      <c r="M6" s="25">
        <f t="shared" si="5"/>
        <v>-270.8409902740009</v>
      </c>
      <c r="N6" s="26">
        <f>ROUND(V6*Hauptstelle!$J$54,Hauptstelle!W51)</f>
        <v>2100</v>
      </c>
      <c r="O6" s="27">
        <f t="shared" si="6"/>
        <v>1670.6240487062405</v>
      </c>
      <c r="P6" s="24">
        <f t="shared" si="7"/>
        <v>0</v>
      </c>
      <c r="Q6" s="24">
        <f>(P6*(1/Hauptstelle!$J$52))+((L6/100)*Hauptstelle!$J$53)</f>
        <v>85.80795048629996</v>
      </c>
      <c r="R6" s="28">
        <f t="shared" si="8"/>
        <v>4387.360508364517</v>
      </c>
      <c r="S6" s="29">
        <f t="shared" si="9"/>
        <v>0.0202443215008824</v>
      </c>
      <c r="T6" s="28">
        <f t="shared" si="10"/>
        <v>280601.44</v>
      </c>
      <c r="U6" s="29">
        <f t="shared" si="11"/>
        <v>0.021558111713062832</v>
      </c>
      <c r="V6" s="29">
        <f t="shared" si="12"/>
        <v>0.020901216606972618</v>
      </c>
      <c r="W6" s="16">
        <f t="shared" si="13"/>
        <v>153664</v>
      </c>
    </row>
    <row r="7" spans="1:23" ht="9">
      <c r="A7" s="134" t="s">
        <v>41</v>
      </c>
      <c r="B7" s="30">
        <v>28</v>
      </c>
      <c r="C7" s="31">
        <v>873</v>
      </c>
      <c r="D7" s="18">
        <f t="shared" si="0"/>
        <v>0.36821926128383253</v>
      </c>
      <c r="E7" s="30">
        <v>9763</v>
      </c>
      <c r="F7" s="18">
        <f t="shared" si="1"/>
        <v>0.9416610001109198</v>
      </c>
      <c r="G7" s="19">
        <v>19.4</v>
      </c>
      <c r="H7" s="20">
        <f t="shared" si="2"/>
        <v>11.183276059564719</v>
      </c>
      <c r="I7" s="21">
        <f t="shared" si="3"/>
        <v>14.210485022517226</v>
      </c>
      <c r="J7" s="22">
        <v>50</v>
      </c>
      <c r="K7" s="23">
        <f t="shared" si="14"/>
        <v>6.083333333333333</v>
      </c>
      <c r="L7" s="24">
        <f t="shared" si="4"/>
        <v>1648.619646948918</v>
      </c>
      <c r="M7" s="25">
        <f t="shared" si="5"/>
        <v>775.619646948918</v>
      </c>
      <c r="N7" s="26">
        <f>ROUND(V7*Hauptstelle!$J$54,Hauptstelle!W51)</f>
        <v>1400</v>
      </c>
      <c r="O7" s="27">
        <f t="shared" si="6"/>
        <v>1604.876712328767</v>
      </c>
      <c r="P7" s="24">
        <f t="shared" si="7"/>
        <v>775.619646948918</v>
      </c>
      <c r="Q7" s="24">
        <f>(P7*(1/Hauptstelle!$J$52))+((L7/100)*Hauptstelle!$J$53)</f>
        <v>159.9929470423377</v>
      </c>
      <c r="R7" s="28">
        <f t="shared" si="8"/>
        <v>3103.863172621351</v>
      </c>
      <c r="S7" s="29">
        <f t="shared" si="9"/>
        <v>0.01432196051395804</v>
      </c>
      <c r="T7" s="28">
        <f t="shared" si="10"/>
        <v>189402.19999999998</v>
      </c>
      <c r="U7" s="29">
        <f t="shared" si="11"/>
        <v>0.014551435610237312</v>
      </c>
      <c r="V7" s="29">
        <f t="shared" si="12"/>
        <v>0.014436698062097676</v>
      </c>
      <c r="W7" s="16">
        <f t="shared" si="13"/>
        <v>273364</v>
      </c>
    </row>
    <row r="8" spans="1:23" ht="9">
      <c r="A8" s="134" t="s">
        <v>42</v>
      </c>
      <c r="B8" s="30">
        <v>28</v>
      </c>
      <c r="C8" s="31">
        <v>234</v>
      </c>
      <c r="D8" s="18">
        <f t="shared" si="0"/>
        <v>0.0986979463235015</v>
      </c>
      <c r="E8" s="30">
        <v>1432</v>
      </c>
      <c r="F8" s="18">
        <f t="shared" si="1"/>
        <v>0.1381192822041214</v>
      </c>
      <c r="G8" s="19">
        <v>25.8</v>
      </c>
      <c r="H8" s="20">
        <f t="shared" si="2"/>
        <v>6.119658119658119</v>
      </c>
      <c r="I8" s="21">
        <f t="shared" si="3"/>
        <v>53.05467743823908</v>
      </c>
      <c r="J8" s="22">
        <v>50</v>
      </c>
      <c r="K8" s="23">
        <f t="shared" si="14"/>
        <v>6.083333333333333</v>
      </c>
      <c r="L8" s="24">
        <f t="shared" si="4"/>
        <v>241.81330886314154</v>
      </c>
      <c r="M8" s="25">
        <f t="shared" si="5"/>
        <v>7.813308863141543</v>
      </c>
      <c r="N8" s="26">
        <f>ROUND(V8*Hauptstelle!$J$54,Hauptstelle!W51)</f>
        <v>200</v>
      </c>
      <c r="O8" s="27">
        <f t="shared" si="6"/>
        <v>235.39726027397262</v>
      </c>
      <c r="P8" s="24">
        <f t="shared" si="7"/>
        <v>7.813308863141543</v>
      </c>
      <c r="Q8" s="24">
        <f>(P8*(1/Hauptstelle!$J$52))+((L8/100)*Hauptstelle!$J$53)</f>
        <v>12.871996329471234</v>
      </c>
      <c r="R8" s="28">
        <f t="shared" si="8"/>
        <v>332.09750530035785</v>
      </c>
      <c r="S8" s="29">
        <f t="shared" si="9"/>
        <v>0.0015323766200939838</v>
      </c>
      <c r="T8" s="28">
        <f t="shared" si="10"/>
        <v>36945.6</v>
      </c>
      <c r="U8" s="29">
        <f t="shared" si="11"/>
        <v>0.0028384650203724334</v>
      </c>
      <c r="V8" s="29">
        <f t="shared" si="12"/>
        <v>0.0021854208202332086</v>
      </c>
      <c r="W8" s="16">
        <f t="shared" si="13"/>
        <v>40096</v>
      </c>
    </row>
    <row r="9" spans="1:23" ht="9">
      <c r="A9" s="134" t="s">
        <v>43</v>
      </c>
      <c r="B9" s="30">
        <v>28</v>
      </c>
      <c r="C9" s="31">
        <v>644</v>
      </c>
      <c r="D9" s="18">
        <f t="shared" si="0"/>
        <v>0.27163024543732894</v>
      </c>
      <c r="E9" s="30">
        <v>7635</v>
      </c>
      <c r="F9" s="18">
        <f t="shared" si="1"/>
        <v>0.7364111170589852</v>
      </c>
      <c r="G9" s="19">
        <v>13.5</v>
      </c>
      <c r="H9" s="20">
        <f t="shared" si="2"/>
        <v>11.855590062111801</v>
      </c>
      <c r="I9" s="21">
        <f t="shared" si="3"/>
        <v>9.05300774270399</v>
      </c>
      <c r="J9" s="22">
        <v>47</v>
      </c>
      <c r="K9" s="23">
        <f t="shared" si="14"/>
        <v>6.448333333333333</v>
      </c>
      <c r="L9" s="24">
        <f t="shared" si="4"/>
        <v>1216.2990231172168</v>
      </c>
      <c r="M9" s="25">
        <f t="shared" si="5"/>
        <v>572.2990231172168</v>
      </c>
      <c r="N9" s="26">
        <f>ROUND(V9*Hauptstelle!$J$54,Hauptstelle!W51)</f>
        <v>800</v>
      </c>
      <c r="O9" s="27">
        <f t="shared" si="6"/>
        <v>1184.026880330835</v>
      </c>
      <c r="P9" s="24">
        <f t="shared" si="7"/>
        <v>572.2990231172168</v>
      </c>
      <c r="Q9" s="24">
        <f>(P9*(1/Hauptstelle!$J$52))+((L9/100)*Hauptstelle!$J$53)</f>
        <v>118.04485346758253</v>
      </c>
      <c r="R9" s="28">
        <f t="shared" si="8"/>
        <v>1593.605521812364</v>
      </c>
      <c r="S9" s="29">
        <f t="shared" si="9"/>
        <v>0.007353273675059156</v>
      </c>
      <c r="T9" s="28">
        <f t="shared" si="10"/>
        <v>103072.5</v>
      </c>
      <c r="U9" s="29">
        <f t="shared" si="11"/>
        <v>0.007918877642055823</v>
      </c>
      <c r="V9" s="29">
        <f t="shared" si="12"/>
        <v>0.007636075658557489</v>
      </c>
      <c r="W9" s="16">
        <f t="shared" si="13"/>
        <v>213780</v>
      </c>
    </row>
    <row r="10" spans="1:23" ht="9">
      <c r="A10" s="134" t="s">
        <v>44</v>
      </c>
      <c r="B10" s="30">
        <v>28</v>
      </c>
      <c r="C10" s="31">
        <v>1256</v>
      </c>
      <c r="D10" s="18">
        <f t="shared" si="0"/>
        <v>0.5297633358218713</v>
      </c>
      <c r="E10" s="30">
        <v>14580</v>
      </c>
      <c r="F10" s="18">
        <f t="shared" si="1"/>
        <v>1.4062703453464316</v>
      </c>
      <c r="G10" s="19">
        <v>13.95</v>
      </c>
      <c r="H10" s="20">
        <f t="shared" si="2"/>
        <v>11.60828025477707</v>
      </c>
      <c r="I10" s="21">
        <f t="shared" si="3"/>
        <v>10.95017886746358</v>
      </c>
      <c r="J10" s="22">
        <v>50</v>
      </c>
      <c r="K10" s="23">
        <f t="shared" si="14"/>
        <v>6.083333333333333</v>
      </c>
      <c r="L10" s="24">
        <f t="shared" si="4"/>
        <v>2462.037739681986</v>
      </c>
      <c r="M10" s="25">
        <f t="shared" si="5"/>
        <v>1206.0377396819858</v>
      </c>
      <c r="N10" s="26">
        <f>ROUND(V10*Hauptstelle!$J$54,Hauptstelle!W51)</f>
        <v>1600</v>
      </c>
      <c r="O10" s="27">
        <f t="shared" si="6"/>
        <v>2396.7123287671234</v>
      </c>
      <c r="P10" s="24">
        <f t="shared" si="7"/>
        <v>1206.0377396819858</v>
      </c>
      <c r="Q10" s="24">
        <f>(P10*(1/Hauptstelle!$J$52))+((L10/100)*Hauptstelle!$J$53)</f>
        <v>243.70566095229788</v>
      </c>
      <c r="R10" s="28">
        <f t="shared" si="8"/>
        <v>3399.6939702845552</v>
      </c>
      <c r="S10" s="29">
        <f t="shared" si="9"/>
        <v>0.01568699394723496</v>
      </c>
      <c r="T10" s="28">
        <f t="shared" si="10"/>
        <v>203391</v>
      </c>
      <c r="U10" s="29">
        <f t="shared" si="11"/>
        <v>0.015626170341219783</v>
      </c>
      <c r="V10" s="29">
        <f t="shared" si="12"/>
        <v>0.015656582144227372</v>
      </c>
      <c r="W10" s="16">
        <f t="shared" si="13"/>
        <v>408240</v>
      </c>
    </row>
    <row r="11" spans="1:23" ht="9">
      <c r="A11" s="134" t="s">
        <v>45</v>
      </c>
      <c r="B11" s="30">
        <v>28</v>
      </c>
      <c r="C11" s="31">
        <v>345</v>
      </c>
      <c r="D11" s="18">
        <f t="shared" si="0"/>
        <v>0.14551620291285478</v>
      </c>
      <c r="E11" s="30">
        <v>1345</v>
      </c>
      <c r="F11" s="18">
        <f t="shared" si="1"/>
        <v>0.12972795709814475</v>
      </c>
      <c r="G11" s="19">
        <v>25</v>
      </c>
      <c r="H11" s="20">
        <f t="shared" si="2"/>
        <v>3.898550724637681</v>
      </c>
      <c r="I11" s="21">
        <f t="shared" si="3"/>
        <v>70.09330950962874</v>
      </c>
      <c r="J11" s="22">
        <v>50</v>
      </c>
      <c r="K11" s="23">
        <f t="shared" si="14"/>
        <v>6.083333333333333</v>
      </c>
      <c r="L11" s="24">
        <f t="shared" si="4"/>
        <v>227.12213716545068</v>
      </c>
      <c r="M11" s="25">
        <f t="shared" si="5"/>
        <v>-117.87786283454932</v>
      </c>
      <c r="N11" s="26">
        <f>ROUND(V11*Hauptstelle!$J$54,Hauptstelle!W51)</f>
        <v>200</v>
      </c>
      <c r="O11" s="27">
        <f t="shared" si="6"/>
        <v>221.0958904109589</v>
      </c>
      <c r="P11" s="24">
        <f t="shared" si="7"/>
        <v>0</v>
      </c>
      <c r="Q11" s="24">
        <f>(P11*(1/Hauptstelle!$J$52))+((L11/100)*Hauptstelle!$J$53)</f>
        <v>11.356106858272534</v>
      </c>
      <c r="R11" s="28">
        <f t="shared" si="8"/>
        <v>283.9026714568134</v>
      </c>
      <c r="S11" s="29">
        <f t="shared" si="9"/>
        <v>0.0013099942311496058</v>
      </c>
      <c r="T11" s="28">
        <f t="shared" si="10"/>
        <v>33625</v>
      </c>
      <c r="U11" s="29">
        <f t="shared" si="11"/>
        <v>0.0025833492028826998</v>
      </c>
      <c r="V11" s="29">
        <f t="shared" si="12"/>
        <v>0.0019466717170161527</v>
      </c>
      <c r="W11" s="16">
        <f t="shared" si="13"/>
        <v>37660</v>
      </c>
    </row>
    <row r="12" spans="1:23" ht="9">
      <c r="A12" s="134" t="s">
        <v>46</v>
      </c>
      <c r="B12" s="30">
        <v>28</v>
      </c>
      <c r="C12" s="31">
        <v>1555</v>
      </c>
      <c r="D12" s="18">
        <f t="shared" si="0"/>
        <v>0.6558773783463454</v>
      </c>
      <c r="E12" s="30">
        <v>17654</v>
      </c>
      <c r="F12" s="18">
        <f t="shared" si="1"/>
        <v>1.702763832424273</v>
      </c>
      <c r="G12" s="19">
        <v>9.45</v>
      </c>
      <c r="H12" s="20">
        <f t="shared" si="2"/>
        <v>11.35305466237942</v>
      </c>
      <c r="I12" s="21">
        <f t="shared" si="3"/>
        <v>12.908073822842798</v>
      </c>
      <c r="J12" s="22">
        <v>47</v>
      </c>
      <c r="K12" s="23">
        <f t="shared" si="14"/>
        <v>6.448333333333333</v>
      </c>
      <c r="L12" s="24">
        <f t="shared" si="4"/>
        <v>2812.3828361638957</v>
      </c>
      <c r="M12" s="25">
        <f t="shared" si="5"/>
        <v>1257.3828361638957</v>
      </c>
      <c r="N12" s="26">
        <f>ROUND(V12*Hauptstelle!$J$54,Hauptstelle!W51)</f>
        <v>1200</v>
      </c>
      <c r="O12" s="27">
        <f t="shared" si="6"/>
        <v>2737.7616955285603</v>
      </c>
      <c r="P12" s="24">
        <f t="shared" si="7"/>
        <v>1257.3828361638957</v>
      </c>
      <c r="Q12" s="24">
        <f>(P12*(1/Hauptstelle!$J$52))+((L12/100)*Hauptstelle!$J$53)</f>
        <v>266.3574254245844</v>
      </c>
      <c r="R12" s="28">
        <f t="shared" si="8"/>
        <v>2517.0776702623225</v>
      </c>
      <c r="S12" s="29">
        <f t="shared" si="9"/>
        <v>0.011614393096335194</v>
      </c>
      <c r="T12" s="28">
        <f t="shared" si="10"/>
        <v>166830.3</v>
      </c>
      <c r="U12" s="29">
        <f t="shared" si="11"/>
        <v>0.012817276506221015</v>
      </c>
      <c r="V12" s="29">
        <f t="shared" si="12"/>
        <v>0.012215834801278105</v>
      </c>
      <c r="W12" s="16">
        <f t="shared" si="13"/>
        <v>494312</v>
      </c>
    </row>
    <row r="13" spans="1:23" ht="9">
      <c r="A13" s="134" t="s">
        <v>47</v>
      </c>
      <c r="B13" s="30">
        <v>28</v>
      </c>
      <c r="C13" s="31">
        <v>52</v>
      </c>
      <c r="D13" s="18">
        <f t="shared" si="0"/>
        <v>0.021932876960778114</v>
      </c>
      <c r="E13" s="30">
        <v>145</v>
      </c>
      <c r="F13" s="18">
        <f t="shared" si="1"/>
        <v>0.013985541843294414</v>
      </c>
      <c r="G13" s="19">
        <v>30</v>
      </c>
      <c r="H13" s="20">
        <f t="shared" si="2"/>
        <v>2.7884615384615383</v>
      </c>
      <c r="I13" s="21">
        <f t="shared" si="3"/>
        <v>78.60906217070601</v>
      </c>
      <c r="J13" s="22">
        <v>73</v>
      </c>
      <c r="K13" s="23">
        <f t="shared" si="14"/>
        <v>3.285</v>
      </c>
      <c r="L13" s="24">
        <f t="shared" si="4"/>
        <v>45.34312252373723</v>
      </c>
      <c r="M13" s="25">
        <f t="shared" si="5"/>
        <v>-6.656877476262771</v>
      </c>
      <c r="N13" s="26">
        <f>ROUND(V13*Hauptstelle!$J$54,Hauptstelle!W51)</f>
        <v>0</v>
      </c>
      <c r="O13" s="27">
        <f t="shared" si="6"/>
        <v>44.140030441400306</v>
      </c>
      <c r="P13" s="24">
        <f t="shared" si="7"/>
        <v>0</v>
      </c>
      <c r="Q13" s="24">
        <f>(P13*(1/Hauptstelle!$J$52))+((L13/100)*Hauptstelle!$J$53)</f>
        <v>2.2671561261868614</v>
      </c>
      <c r="R13" s="28">
        <f t="shared" si="8"/>
        <v>68.01468378560584</v>
      </c>
      <c r="S13" s="29">
        <f t="shared" si="9"/>
        <v>0.0003138358752857378</v>
      </c>
      <c r="T13" s="28">
        <f t="shared" si="10"/>
        <v>4350</v>
      </c>
      <c r="U13" s="29">
        <f t="shared" si="11"/>
        <v>0.0003342027965067582</v>
      </c>
      <c r="V13" s="29">
        <f t="shared" si="12"/>
        <v>0.00032401933589624803</v>
      </c>
      <c r="W13" s="16">
        <f t="shared" si="13"/>
        <v>4060</v>
      </c>
    </row>
    <row r="14" spans="1:23" ht="9">
      <c r="A14" s="134" t="s">
        <v>48</v>
      </c>
      <c r="B14" s="30">
        <v>28</v>
      </c>
      <c r="C14" s="31">
        <v>134</v>
      </c>
      <c r="D14" s="18">
        <f t="shared" si="0"/>
        <v>0.05651933678354359</v>
      </c>
      <c r="E14" s="30">
        <v>356</v>
      </c>
      <c r="F14" s="18">
        <f t="shared" si="1"/>
        <v>0.034336916525605596</v>
      </c>
      <c r="G14" s="19">
        <v>15</v>
      </c>
      <c r="H14" s="20">
        <f t="shared" si="2"/>
        <v>2.656716417910448</v>
      </c>
      <c r="I14" s="21">
        <f t="shared" si="3"/>
        <v>79.61970967082397</v>
      </c>
      <c r="J14" s="22">
        <v>60</v>
      </c>
      <c r="K14" s="23">
        <f t="shared" si="14"/>
        <v>4.866666666666666</v>
      </c>
      <c r="L14" s="24">
        <f t="shared" si="4"/>
        <v>75.14449891347626</v>
      </c>
      <c r="M14" s="25">
        <f t="shared" si="5"/>
        <v>-58.855501086523745</v>
      </c>
      <c r="N14" s="26">
        <f>ROUND(V14*Hauptstelle!$J$54,Hauptstelle!W51)</f>
        <v>0</v>
      </c>
      <c r="O14" s="27">
        <f t="shared" si="6"/>
        <v>73.15068493150686</v>
      </c>
      <c r="P14" s="24">
        <f t="shared" si="7"/>
        <v>0</v>
      </c>
      <c r="Q14" s="24">
        <f>(P14*(1/Hauptstelle!$J$52))+((L14/100)*Hauptstelle!$J$53)</f>
        <v>3.757224945673813</v>
      </c>
      <c r="R14" s="28">
        <f t="shared" si="8"/>
        <v>56.358374185107195</v>
      </c>
      <c r="S14" s="29">
        <f t="shared" si="9"/>
        <v>0.00026005089941780283</v>
      </c>
      <c r="T14" s="28">
        <f t="shared" si="10"/>
        <v>5340</v>
      </c>
      <c r="U14" s="29">
        <f t="shared" si="11"/>
        <v>0.00041026274329795145</v>
      </c>
      <c r="V14" s="29">
        <f t="shared" si="12"/>
        <v>0.00033515682135787714</v>
      </c>
      <c r="W14" s="16">
        <f t="shared" si="13"/>
        <v>9968</v>
      </c>
    </row>
    <row r="15" spans="1:23" ht="9">
      <c r="A15" s="134" t="s">
        <v>49</v>
      </c>
      <c r="B15" s="30">
        <v>7</v>
      </c>
      <c r="C15" s="31">
        <v>12</v>
      </c>
      <c r="D15" s="18">
        <f t="shared" si="0"/>
        <v>0.005061433144794948</v>
      </c>
      <c r="E15" s="30">
        <v>560</v>
      </c>
      <c r="F15" s="18">
        <f t="shared" si="1"/>
        <v>0.05401312711893015</v>
      </c>
      <c r="G15" s="19">
        <v>55</v>
      </c>
      <c r="H15" s="20">
        <f t="shared" si="2"/>
        <v>46.666666666666664</v>
      </c>
      <c r="I15" s="21">
        <f t="shared" si="3"/>
        <v>10.502283105022842</v>
      </c>
      <c r="J15" s="22">
        <v>35</v>
      </c>
      <c r="K15" s="23">
        <f t="shared" si="14"/>
        <v>7.908333333333333</v>
      </c>
      <c r="L15" s="24">
        <f t="shared" si="4"/>
        <v>72.74143369325272</v>
      </c>
      <c r="M15" s="25">
        <f t="shared" si="5"/>
        <v>60.741433693252716</v>
      </c>
      <c r="N15" s="26">
        <f>ROUND(V15*Hauptstelle!$J$54,Hauptstelle!W51)</f>
        <v>200</v>
      </c>
      <c r="O15" s="27">
        <f t="shared" si="6"/>
        <v>70.8113804004215</v>
      </c>
      <c r="P15" s="24">
        <f t="shared" si="7"/>
        <v>60.741433693252716</v>
      </c>
      <c r="Q15" s="24">
        <f>(P15*(1/Hauptstelle!$J$52))+((L15/100)*Hauptstelle!$J$53)</f>
        <v>9.711215053987909</v>
      </c>
      <c r="R15" s="28">
        <f t="shared" si="8"/>
        <v>534.116827969335</v>
      </c>
      <c r="S15" s="29">
        <f t="shared" si="9"/>
        <v>0.002464541667781349</v>
      </c>
      <c r="T15" s="28">
        <f t="shared" si="10"/>
        <v>30800</v>
      </c>
      <c r="U15" s="29">
        <f t="shared" si="11"/>
        <v>0.002366309455726012</v>
      </c>
      <c r="V15" s="29">
        <f t="shared" si="12"/>
        <v>0.0024154255617536806</v>
      </c>
      <c r="W15" s="16">
        <f t="shared" si="13"/>
        <v>3920</v>
      </c>
    </row>
    <row r="16" spans="1:23" ht="9">
      <c r="A16" s="134" t="s">
        <v>50</v>
      </c>
      <c r="B16" s="30">
        <v>28</v>
      </c>
      <c r="C16" s="31">
        <v>654</v>
      </c>
      <c r="D16" s="18">
        <f t="shared" si="0"/>
        <v>0.27584810639132473</v>
      </c>
      <c r="E16" s="30">
        <v>2134</v>
      </c>
      <c r="F16" s="18">
        <f t="shared" si="1"/>
        <v>0.20582859512820884</v>
      </c>
      <c r="G16" s="19">
        <v>20.45</v>
      </c>
      <c r="H16" s="20">
        <f t="shared" si="2"/>
        <v>3.2629969418960245</v>
      </c>
      <c r="I16" s="21">
        <f t="shared" si="3"/>
        <v>74.96879058271543</v>
      </c>
      <c r="J16" s="22">
        <v>35</v>
      </c>
      <c r="K16" s="23">
        <f t="shared" si="14"/>
        <v>7.908333333333333</v>
      </c>
      <c r="L16" s="24">
        <f t="shared" si="4"/>
        <v>277.1968205382166</v>
      </c>
      <c r="M16" s="25">
        <f t="shared" si="5"/>
        <v>-376.8031794617834</v>
      </c>
      <c r="N16" s="26">
        <f>ROUND(V16*Hauptstelle!$J$54,Hauptstelle!W51)</f>
        <v>200</v>
      </c>
      <c r="O16" s="27">
        <f t="shared" si="6"/>
        <v>269.8419388830348</v>
      </c>
      <c r="P16" s="24">
        <f t="shared" si="7"/>
        <v>0</v>
      </c>
      <c r="Q16" s="24">
        <f>(P16*(1/Hauptstelle!$J$52))+((L16/100)*Hauptstelle!$J$53)</f>
        <v>13.85984102691083</v>
      </c>
      <c r="R16" s="28">
        <f t="shared" si="8"/>
        <v>283.4337490003265</v>
      </c>
      <c r="S16" s="29">
        <f t="shared" si="9"/>
        <v>0.0013078305117675295</v>
      </c>
      <c r="T16" s="28">
        <f t="shared" si="10"/>
        <v>43640.299999999996</v>
      </c>
      <c r="U16" s="29">
        <f t="shared" si="11"/>
        <v>0.003352806965607788</v>
      </c>
      <c r="V16" s="29">
        <f t="shared" si="12"/>
        <v>0.002330318738687659</v>
      </c>
      <c r="W16" s="16">
        <f t="shared" si="13"/>
        <v>59752</v>
      </c>
    </row>
    <row r="17" spans="1:23" ht="9">
      <c r="A17" s="134" t="s">
        <v>4</v>
      </c>
      <c r="B17" s="30">
        <v>56</v>
      </c>
      <c r="C17" s="31">
        <v>1354</v>
      </c>
      <c r="D17" s="18">
        <f t="shared" si="0"/>
        <v>0.5710983731710301</v>
      </c>
      <c r="E17" s="30">
        <v>1897</v>
      </c>
      <c r="F17" s="18">
        <f t="shared" si="1"/>
        <v>0.1829694681153759</v>
      </c>
      <c r="G17" s="19">
        <v>30</v>
      </c>
      <c r="H17" s="20">
        <f t="shared" si="2"/>
        <v>1.4010339734121122</v>
      </c>
      <c r="I17" s="21">
        <f t="shared" si="3"/>
        <v>78.50468424354021</v>
      </c>
      <c r="J17" s="22">
        <v>78</v>
      </c>
      <c r="K17" s="23">
        <f t="shared" si="14"/>
        <v>2.6766666666666667</v>
      </c>
      <c r="L17" s="24">
        <f t="shared" si="4"/>
        <v>728.0342923333219</v>
      </c>
      <c r="M17" s="25">
        <f t="shared" si="5"/>
        <v>-625.9657076666781</v>
      </c>
      <c r="N17" s="26">
        <f>ROUND(V17*Hauptstelle!$J$54,Hauptstelle!W51)</f>
        <v>500</v>
      </c>
      <c r="O17" s="27">
        <f t="shared" si="6"/>
        <v>708.7173100871731</v>
      </c>
      <c r="P17" s="24">
        <f t="shared" si="7"/>
        <v>0</v>
      </c>
      <c r="Q17" s="24">
        <f>(P17*(1/Hauptstelle!$J$52))+((L17/100)*Hauptstelle!$J$53)</f>
        <v>36.4017146166661</v>
      </c>
      <c r="R17" s="28">
        <f t="shared" si="8"/>
        <v>1092.0514384999829</v>
      </c>
      <c r="S17" s="29">
        <f t="shared" si="9"/>
        <v>0.005038984230802572</v>
      </c>
      <c r="T17" s="28">
        <f t="shared" si="10"/>
        <v>56910</v>
      </c>
      <c r="U17" s="29">
        <f t="shared" si="11"/>
        <v>0.004372294517057381</v>
      </c>
      <c r="V17" s="29">
        <f t="shared" si="12"/>
        <v>0.004705639373929977</v>
      </c>
      <c r="W17" s="16">
        <f t="shared" si="13"/>
        <v>106232</v>
      </c>
    </row>
    <row r="18" spans="1:23" ht="9">
      <c r="A18" s="134" t="s">
        <v>51</v>
      </c>
      <c r="B18" s="30">
        <v>28</v>
      </c>
      <c r="C18" s="31">
        <v>1</v>
      </c>
      <c r="D18" s="18">
        <f t="shared" si="0"/>
        <v>0.0004217860953995791</v>
      </c>
      <c r="E18" s="30">
        <v>3</v>
      </c>
      <c r="F18" s="18">
        <f t="shared" si="1"/>
        <v>0.00028935603813712583</v>
      </c>
      <c r="G18" s="19">
        <v>25</v>
      </c>
      <c r="H18" s="20">
        <f t="shared" si="2"/>
        <v>3</v>
      </c>
      <c r="I18" s="21">
        <f t="shared" si="3"/>
        <v>76.98630136986301</v>
      </c>
      <c r="J18" s="22">
        <v>73</v>
      </c>
      <c r="K18" s="23">
        <f t="shared" si="14"/>
        <v>3.285</v>
      </c>
      <c r="L18" s="24">
        <f t="shared" si="4"/>
        <v>0.9381335694566322</v>
      </c>
      <c r="M18" s="25">
        <f t="shared" si="5"/>
        <v>-0.06186643054336782</v>
      </c>
      <c r="N18" s="26">
        <f>ROUND(V18*Hauptstelle!$J$54,Hauptstelle!W51)</f>
        <v>0</v>
      </c>
      <c r="O18" s="27">
        <f t="shared" si="6"/>
        <v>0.91324200913242</v>
      </c>
      <c r="P18" s="24">
        <f t="shared" si="7"/>
        <v>0</v>
      </c>
      <c r="Q18" s="24">
        <f>(P18*(1/Hauptstelle!$J$52))+((L18/100)*Hauptstelle!$J$53)</f>
        <v>0.046906678472831614</v>
      </c>
      <c r="R18" s="28">
        <f t="shared" si="8"/>
        <v>1.1726669618207903</v>
      </c>
      <c r="S18" s="29">
        <f t="shared" si="9"/>
        <v>5.4109633669954795E-06</v>
      </c>
      <c r="T18" s="28">
        <f t="shared" si="10"/>
        <v>75</v>
      </c>
      <c r="U18" s="29">
        <f t="shared" si="11"/>
        <v>5.762117181151003E-06</v>
      </c>
      <c r="V18" s="29">
        <f t="shared" si="12"/>
        <v>5.586540274073241E-06</v>
      </c>
      <c r="W18" s="16">
        <f t="shared" si="13"/>
        <v>84</v>
      </c>
    </row>
    <row r="19" spans="1:23" ht="9">
      <c r="A19" s="134" t="s">
        <v>53</v>
      </c>
      <c r="B19" s="30">
        <v>28</v>
      </c>
      <c r="C19" s="31">
        <v>9</v>
      </c>
      <c r="D19" s="18">
        <f t="shared" si="0"/>
        <v>0.0037960748585962115</v>
      </c>
      <c r="E19" s="30">
        <v>34</v>
      </c>
      <c r="F19" s="18">
        <f t="shared" si="1"/>
        <v>0.003279368432220759</v>
      </c>
      <c r="G19" s="19">
        <v>22</v>
      </c>
      <c r="H19" s="20">
        <f t="shared" si="2"/>
        <v>3.7777777777777777</v>
      </c>
      <c r="I19" s="21">
        <f t="shared" si="3"/>
        <v>71.01978691019787</v>
      </c>
      <c r="J19" s="22">
        <v>44</v>
      </c>
      <c r="K19" s="23">
        <f t="shared" si="14"/>
        <v>6.8133333333333335</v>
      </c>
      <c r="L19" s="24">
        <f t="shared" si="4"/>
        <v>5.12622986167374</v>
      </c>
      <c r="M19" s="25">
        <f t="shared" si="5"/>
        <v>-3.87377013832626</v>
      </c>
      <c r="N19" s="26">
        <f>ROUND(V19*Hauptstelle!$J$54,Hauptstelle!W51)</f>
        <v>0</v>
      </c>
      <c r="O19" s="27">
        <f t="shared" si="6"/>
        <v>4.990215264187867</v>
      </c>
      <c r="P19" s="24">
        <f t="shared" si="7"/>
        <v>0</v>
      </c>
      <c r="Q19" s="24">
        <f>(P19*(1/Hauptstelle!$J$52))+((L19/100)*Hauptstelle!$J$53)</f>
        <v>0.25631149308368695</v>
      </c>
      <c r="R19" s="28">
        <f t="shared" si="8"/>
        <v>5.638852847841113</v>
      </c>
      <c r="S19" s="29">
        <f t="shared" si="9"/>
        <v>2.6019003847581114E-05</v>
      </c>
      <c r="T19" s="28">
        <f t="shared" si="10"/>
        <v>748</v>
      </c>
      <c r="U19" s="29">
        <f t="shared" si="11"/>
        <v>5.746751535334601E-05</v>
      </c>
      <c r="V19" s="29">
        <f t="shared" si="12"/>
        <v>4.174325960046356E-05</v>
      </c>
      <c r="W19" s="16">
        <f t="shared" si="13"/>
        <v>952</v>
      </c>
    </row>
    <row r="20" spans="1:23" ht="9">
      <c r="A20" s="134" t="s">
        <v>54</v>
      </c>
      <c r="B20" s="30">
        <v>28</v>
      </c>
      <c r="C20" s="31">
        <v>45</v>
      </c>
      <c r="D20" s="18">
        <f t="shared" si="0"/>
        <v>0.018980374292981057</v>
      </c>
      <c r="E20" s="30">
        <v>234</v>
      </c>
      <c r="F20" s="18">
        <f t="shared" si="1"/>
        <v>0.022569770974695813</v>
      </c>
      <c r="G20" s="19">
        <v>24</v>
      </c>
      <c r="H20" s="20">
        <f t="shared" si="2"/>
        <v>5.2</v>
      </c>
      <c r="I20" s="21">
        <f t="shared" si="3"/>
        <v>60.10958904109589</v>
      </c>
      <c r="J20" s="22">
        <v>50</v>
      </c>
      <c r="K20" s="23">
        <f t="shared" si="14"/>
        <v>6.083333333333333</v>
      </c>
      <c r="L20" s="24">
        <f t="shared" si="4"/>
        <v>39.51418594551335</v>
      </c>
      <c r="M20" s="25">
        <f t="shared" si="5"/>
        <v>-5.485814054486653</v>
      </c>
      <c r="N20" s="26">
        <f>ROUND(V20*Hauptstelle!$J$54,Hauptstelle!W51)</f>
        <v>0</v>
      </c>
      <c r="O20" s="27">
        <f t="shared" si="6"/>
        <v>38.465753424657535</v>
      </c>
      <c r="P20" s="24">
        <f t="shared" si="7"/>
        <v>0</v>
      </c>
      <c r="Q20" s="24">
        <f>(P20*(1/Hauptstelle!$J$52))+((L20/100)*Hauptstelle!$J$53)</f>
        <v>1.9757092972756674</v>
      </c>
      <c r="R20" s="28">
        <f t="shared" si="8"/>
        <v>47.41702313461602</v>
      </c>
      <c r="S20" s="29">
        <f t="shared" si="9"/>
        <v>0.0002187933859371356</v>
      </c>
      <c r="T20" s="28">
        <f t="shared" si="10"/>
        <v>5616</v>
      </c>
      <c r="U20" s="29">
        <f t="shared" si="11"/>
        <v>0.0004314673345245871</v>
      </c>
      <c r="V20" s="29">
        <f t="shared" si="12"/>
        <v>0.0003251303602308614</v>
      </c>
      <c r="W20" s="16">
        <f t="shared" si="13"/>
        <v>6552</v>
      </c>
    </row>
    <row r="21" spans="1:23" ht="9">
      <c r="A21" s="134" t="s">
        <v>52</v>
      </c>
      <c r="B21" s="30">
        <v>28</v>
      </c>
      <c r="C21" s="31">
        <v>78</v>
      </c>
      <c r="D21" s="18">
        <f t="shared" si="0"/>
        <v>0.03289931544116717</v>
      </c>
      <c r="E21" s="30">
        <v>432</v>
      </c>
      <c r="F21" s="18">
        <f t="shared" si="1"/>
        <v>0.041667269491746116</v>
      </c>
      <c r="G21" s="19">
        <v>21</v>
      </c>
      <c r="H21" s="20">
        <f t="shared" si="2"/>
        <v>5.538461538461538</v>
      </c>
      <c r="I21" s="21">
        <f t="shared" si="3"/>
        <v>57.51317175974711</v>
      </c>
      <c r="J21" s="22">
        <v>73</v>
      </c>
      <c r="K21" s="23">
        <f t="shared" si="14"/>
        <v>3.285</v>
      </c>
      <c r="L21" s="24">
        <f t="shared" si="4"/>
        <v>135.09123400175503</v>
      </c>
      <c r="M21" s="25">
        <f t="shared" si="5"/>
        <v>57.091234001755026</v>
      </c>
      <c r="N21" s="26">
        <f>ROUND(V21*Hauptstelle!$J$54,Hauptstelle!W51)</f>
        <v>100</v>
      </c>
      <c r="O21" s="27">
        <f t="shared" si="6"/>
        <v>131.50684931506848</v>
      </c>
      <c r="P21" s="24">
        <f t="shared" si="7"/>
        <v>57.091234001755026</v>
      </c>
      <c r="Q21" s="24">
        <f>(P21*(1/Hauptstelle!$J$52))+((L21/100)*Hauptstelle!$J$53)</f>
        <v>12.463685100263255</v>
      </c>
      <c r="R21" s="28">
        <f t="shared" si="8"/>
        <v>261.73738710552834</v>
      </c>
      <c r="S21" s="29">
        <f t="shared" si="9"/>
        <v>0.001207718354409957</v>
      </c>
      <c r="T21" s="28">
        <f t="shared" si="10"/>
        <v>9072</v>
      </c>
      <c r="U21" s="29">
        <f t="shared" si="11"/>
        <v>0.0006969856942320254</v>
      </c>
      <c r="V21" s="29">
        <f t="shared" si="12"/>
        <v>0.0009523520243209912</v>
      </c>
      <c r="W21" s="16">
        <f t="shared" si="13"/>
        <v>12096</v>
      </c>
    </row>
    <row r="22" spans="1:23" ht="9">
      <c r="A22" s="134" t="s">
        <v>55</v>
      </c>
      <c r="B22" s="30">
        <v>28</v>
      </c>
      <c r="C22" s="31">
        <v>478</v>
      </c>
      <c r="D22" s="18">
        <f t="shared" si="0"/>
        <v>0.2016137536009988</v>
      </c>
      <c r="E22" s="30">
        <v>3570</v>
      </c>
      <c r="F22" s="18">
        <f t="shared" si="1"/>
        <v>0.3443336853831797</v>
      </c>
      <c r="G22" s="19">
        <v>13.5</v>
      </c>
      <c r="H22" s="20">
        <f t="shared" si="2"/>
        <v>7.468619246861925</v>
      </c>
      <c r="I22" s="21">
        <f t="shared" si="3"/>
        <v>42.706482489826335</v>
      </c>
      <c r="J22" s="22">
        <v>44</v>
      </c>
      <c r="K22" s="23">
        <f t="shared" si="14"/>
        <v>6.8133333333333335</v>
      </c>
      <c r="L22" s="24">
        <f t="shared" si="4"/>
        <v>538.2541354757427</v>
      </c>
      <c r="M22" s="25">
        <f t="shared" si="5"/>
        <v>60.254135475742714</v>
      </c>
      <c r="N22" s="26">
        <f>ROUND(V22*Hauptstelle!$J$54,Hauptstelle!W51)</f>
        <v>300</v>
      </c>
      <c r="O22" s="27">
        <f t="shared" si="6"/>
        <v>523.972602739726</v>
      </c>
      <c r="P22" s="24">
        <f t="shared" si="7"/>
        <v>60.254135475742714</v>
      </c>
      <c r="Q22" s="24">
        <f>(P22*(1/Hauptstelle!$J$52))+((L22/100)*Hauptstelle!$J$53)</f>
        <v>32.93812032136141</v>
      </c>
      <c r="R22" s="28">
        <f t="shared" si="8"/>
        <v>444.66462433837904</v>
      </c>
      <c r="S22" s="29">
        <f t="shared" si="9"/>
        <v>0.0020517879937180968</v>
      </c>
      <c r="T22" s="28">
        <f t="shared" si="10"/>
        <v>48195</v>
      </c>
      <c r="U22" s="29">
        <f t="shared" si="11"/>
        <v>0.0037027365006076346</v>
      </c>
      <c r="V22" s="29">
        <f t="shared" si="12"/>
        <v>0.002877262247162866</v>
      </c>
      <c r="W22" s="16">
        <f t="shared" si="13"/>
        <v>99960</v>
      </c>
    </row>
    <row r="23" spans="1:23" ht="9">
      <c r="A23" s="134" t="s">
        <v>56</v>
      </c>
      <c r="B23" s="30">
        <v>28</v>
      </c>
      <c r="C23" s="31">
        <v>2941</v>
      </c>
      <c r="D23" s="18">
        <f t="shared" si="0"/>
        <v>1.2404729065701618</v>
      </c>
      <c r="E23" s="30">
        <v>34983</v>
      </c>
      <c r="F23" s="18">
        <f t="shared" si="1"/>
        <v>3.3741807607170244</v>
      </c>
      <c r="G23" s="19">
        <v>18.9</v>
      </c>
      <c r="H23" s="20">
        <f t="shared" si="2"/>
        <v>11.894933696021761</v>
      </c>
      <c r="I23" s="21">
        <f t="shared" si="3"/>
        <v>8.751193564764579</v>
      </c>
      <c r="J23" s="22">
        <v>50</v>
      </c>
      <c r="K23" s="23">
        <f t="shared" si="14"/>
        <v>6.083333333333333</v>
      </c>
      <c r="L23" s="24">
        <f t="shared" si="4"/>
        <v>5907.370798854246</v>
      </c>
      <c r="M23" s="25">
        <f t="shared" si="5"/>
        <v>2966.3707988542455</v>
      </c>
      <c r="N23" s="26">
        <f>ROUND(V23*Hauptstelle!$J$54,Hauptstelle!W51)</f>
        <v>5100</v>
      </c>
      <c r="O23" s="27">
        <f t="shared" si="6"/>
        <v>5750.630136986301</v>
      </c>
      <c r="P23" s="24">
        <f t="shared" si="7"/>
        <v>2966.3707988542455</v>
      </c>
      <c r="Q23" s="24">
        <f>(P23*(1/Hauptstelle!$J$52))+((L23/100)*Hauptstelle!$J$53)</f>
        <v>592.0056198281368</v>
      </c>
      <c r="R23" s="28">
        <f t="shared" si="8"/>
        <v>11188.906214751785</v>
      </c>
      <c r="S23" s="29">
        <f t="shared" si="9"/>
        <v>0.05162826583838068</v>
      </c>
      <c r="T23" s="28">
        <f t="shared" si="10"/>
        <v>661178.7</v>
      </c>
      <c r="U23" s="29">
        <f t="shared" si="11"/>
        <v>0.05079718862774779</v>
      </c>
      <c r="V23" s="29">
        <f t="shared" si="12"/>
        <v>0.051212727233064234</v>
      </c>
      <c r="W23" s="16">
        <f t="shared" si="13"/>
        <v>979524</v>
      </c>
    </row>
    <row r="24" spans="1:23" ht="9">
      <c r="A24" s="134" t="s">
        <v>5</v>
      </c>
      <c r="B24" s="30">
        <v>28</v>
      </c>
      <c r="C24" s="31">
        <v>789</v>
      </c>
      <c r="D24" s="18">
        <f t="shared" si="0"/>
        <v>0.3327892292702679</v>
      </c>
      <c r="E24" s="30">
        <v>675</v>
      </c>
      <c r="F24" s="18">
        <f t="shared" si="1"/>
        <v>0.0651051085808533</v>
      </c>
      <c r="G24" s="19">
        <v>7.67</v>
      </c>
      <c r="H24" s="20">
        <f t="shared" si="2"/>
        <v>0.8555133079847909</v>
      </c>
      <c r="I24" s="21">
        <f t="shared" si="3"/>
        <v>93.43715818532215</v>
      </c>
      <c r="J24" s="22">
        <v>78</v>
      </c>
      <c r="K24" s="23">
        <f t="shared" si="14"/>
        <v>2.6766666666666667</v>
      </c>
      <c r="L24" s="24">
        <f t="shared" si="4"/>
        <v>259.0527924749564</v>
      </c>
      <c r="M24" s="25">
        <f t="shared" si="5"/>
        <v>-529.9472075250436</v>
      </c>
      <c r="N24" s="26">
        <f>ROUND(V24*Hauptstelle!$J$54,Hauptstelle!W51)</f>
        <v>0</v>
      </c>
      <c r="O24" s="27">
        <f t="shared" si="6"/>
        <v>252.17932752179325</v>
      </c>
      <c r="P24" s="24">
        <f t="shared" si="7"/>
        <v>0</v>
      </c>
      <c r="Q24" s="24">
        <f>(P24*(1/Hauptstelle!$J$52))+((L24/100)*Hauptstelle!$J$53)</f>
        <v>12.95263962374782</v>
      </c>
      <c r="R24" s="28">
        <f t="shared" si="8"/>
        <v>99.34674591414577</v>
      </c>
      <c r="S24" s="29">
        <f t="shared" si="9"/>
        <v>0.00045840943786544747</v>
      </c>
      <c r="T24" s="28">
        <f t="shared" si="10"/>
        <v>5177.25</v>
      </c>
      <c r="U24" s="29">
        <f t="shared" si="11"/>
        <v>0.00039775894901485374</v>
      </c>
      <c r="V24" s="29">
        <f t="shared" si="12"/>
        <v>0.00042808419344015063</v>
      </c>
      <c r="W24" s="16">
        <f t="shared" si="13"/>
        <v>18900</v>
      </c>
    </row>
    <row r="25" spans="1:23" ht="9">
      <c r="A25" s="134" t="s">
        <v>57</v>
      </c>
      <c r="B25" s="30">
        <v>28</v>
      </c>
      <c r="C25" s="31"/>
      <c r="D25" s="18">
        <f t="shared" si="0"/>
        <v>0</v>
      </c>
      <c r="E25" s="30"/>
      <c r="F25" s="18">
        <f t="shared" si="1"/>
        <v>0</v>
      </c>
      <c r="G25" s="19">
        <v>10</v>
      </c>
      <c r="H25" s="20" t="e">
        <f t="shared" si="2"/>
        <v>#DIV/0!</v>
      </c>
      <c r="I25" s="21" t="e">
        <f t="shared" si="3"/>
        <v>#DIV/0!</v>
      </c>
      <c r="J25" s="22">
        <v>70</v>
      </c>
      <c r="K25" s="23">
        <f t="shared" si="14"/>
        <v>3.65</v>
      </c>
      <c r="L25" s="24">
        <f t="shared" si="4"/>
        <v>0</v>
      </c>
      <c r="M25" s="25">
        <f t="shared" si="5"/>
        <v>0</v>
      </c>
      <c r="N25" s="26">
        <f>ROUND(V25*Hauptstelle!$J$54,Hauptstelle!W51)</f>
        <v>0</v>
      </c>
      <c r="O25" s="27">
        <f t="shared" si="6"/>
        <v>0</v>
      </c>
      <c r="P25" s="24">
        <f t="shared" si="7"/>
        <v>0</v>
      </c>
      <c r="Q25" s="24">
        <f>(P25*(1/Hauptstelle!$J$52))+((L25/100)*Hauptstelle!$J$53)</f>
        <v>0</v>
      </c>
      <c r="R25" s="28">
        <f t="shared" si="8"/>
        <v>0</v>
      </c>
      <c r="S25" s="29">
        <f t="shared" si="9"/>
        <v>0</v>
      </c>
      <c r="T25" s="28">
        <f t="shared" si="10"/>
        <v>0</v>
      </c>
      <c r="U25" s="29">
        <f t="shared" si="11"/>
        <v>0</v>
      </c>
      <c r="V25" s="29">
        <f t="shared" si="12"/>
        <v>0</v>
      </c>
      <c r="W25" s="16">
        <f t="shared" si="13"/>
        <v>0</v>
      </c>
    </row>
    <row r="26" spans="1:23" ht="9">
      <c r="A26" s="134" t="s">
        <v>58</v>
      </c>
      <c r="B26" s="30">
        <v>28</v>
      </c>
      <c r="C26" s="31"/>
      <c r="D26" s="18">
        <f t="shared" si="0"/>
        <v>0</v>
      </c>
      <c r="E26" s="30"/>
      <c r="F26" s="18">
        <f t="shared" si="1"/>
        <v>0</v>
      </c>
      <c r="G26" s="19">
        <v>10</v>
      </c>
      <c r="H26" s="20" t="e">
        <f t="shared" si="2"/>
        <v>#DIV/0!</v>
      </c>
      <c r="I26" s="21" t="e">
        <f t="shared" si="3"/>
        <v>#DIV/0!</v>
      </c>
      <c r="J26" s="22">
        <v>70</v>
      </c>
      <c r="K26" s="23">
        <f t="shared" si="14"/>
        <v>3.65</v>
      </c>
      <c r="L26" s="24">
        <f t="shared" si="4"/>
        <v>0</v>
      </c>
      <c r="M26" s="25">
        <f t="shared" si="5"/>
        <v>0</v>
      </c>
      <c r="N26" s="26">
        <f>ROUND(V26*Hauptstelle!$J$54,Hauptstelle!W51)</f>
        <v>0</v>
      </c>
      <c r="O26" s="27">
        <f t="shared" si="6"/>
        <v>0</v>
      </c>
      <c r="P26" s="24">
        <f t="shared" si="7"/>
        <v>0</v>
      </c>
      <c r="Q26" s="24">
        <f>(P26*(1/Hauptstelle!$J$52))+((L26/100)*Hauptstelle!$J$53)</f>
        <v>0</v>
      </c>
      <c r="R26" s="28">
        <f t="shared" si="8"/>
        <v>0</v>
      </c>
      <c r="S26" s="29">
        <f t="shared" si="9"/>
        <v>0</v>
      </c>
      <c r="T26" s="28">
        <f t="shared" si="10"/>
        <v>0</v>
      </c>
      <c r="U26" s="29">
        <f t="shared" si="11"/>
        <v>0</v>
      </c>
      <c r="V26" s="29">
        <f t="shared" si="12"/>
        <v>0</v>
      </c>
      <c r="W26" s="16">
        <f t="shared" si="13"/>
        <v>0</v>
      </c>
    </row>
    <row r="27" spans="1:23" ht="9">
      <c r="A27" s="134" t="s">
        <v>113</v>
      </c>
      <c r="B27" s="30">
        <v>28</v>
      </c>
      <c r="C27" s="31">
        <v>14567</v>
      </c>
      <c r="D27" s="18">
        <f t="shared" si="0"/>
        <v>6.144158051685668</v>
      </c>
      <c r="E27" s="30">
        <v>76547</v>
      </c>
      <c r="F27" s="18">
        <f t="shared" si="1"/>
        <v>7.38311221709419</v>
      </c>
      <c r="G27" s="19">
        <v>9.09</v>
      </c>
      <c r="H27" s="20">
        <f t="shared" si="2"/>
        <v>5.254822544106542</v>
      </c>
      <c r="I27" s="21">
        <f t="shared" si="3"/>
        <v>59.689032538360784</v>
      </c>
      <c r="J27" s="22">
        <v>30</v>
      </c>
      <c r="K27" s="23">
        <f t="shared" si="14"/>
        <v>8.516666666666667</v>
      </c>
      <c r="L27" s="24">
        <f t="shared" si="4"/>
        <v>9232.882758153877</v>
      </c>
      <c r="M27" s="25">
        <f t="shared" si="5"/>
        <v>-5334.117241846123</v>
      </c>
      <c r="N27" s="26">
        <f>ROUND(V27*Hauptstelle!$J$54,Hauptstelle!W51)</f>
        <v>3600</v>
      </c>
      <c r="O27" s="27">
        <f t="shared" si="6"/>
        <v>8987.906066536203</v>
      </c>
      <c r="P27" s="24">
        <f t="shared" si="7"/>
        <v>0</v>
      </c>
      <c r="Q27" s="24">
        <f>(P27*(1/Hauptstelle!$J$52))+((L27/100)*Hauptstelle!$J$53)</f>
        <v>461.6441379076939</v>
      </c>
      <c r="R27" s="28">
        <f t="shared" si="8"/>
        <v>4196.3452135809375</v>
      </c>
      <c r="S27" s="29">
        <f t="shared" si="9"/>
        <v>0.019362931646592512</v>
      </c>
      <c r="T27" s="28">
        <f t="shared" si="10"/>
        <v>695812.23</v>
      </c>
      <c r="U27" s="29">
        <f t="shared" si="11"/>
        <v>0.053458021404506575</v>
      </c>
      <c r="V27" s="29">
        <f t="shared" si="12"/>
        <v>0.036410476525549546</v>
      </c>
      <c r="W27" s="16">
        <f t="shared" si="13"/>
        <v>2143316</v>
      </c>
    </row>
    <row r="28" spans="1:23" ht="9">
      <c r="A28" s="134" t="s">
        <v>114</v>
      </c>
      <c r="B28" s="30">
        <v>28</v>
      </c>
      <c r="C28" s="31">
        <v>11987</v>
      </c>
      <c r="D28" s="18">
        <f t="shared" si="0"/>
        <v>5.055949925554755</v>
      </c>
      <c r="E28" s="30">
        <v>87658</v>
      </c>
      <c r="F28" s="18">
        <f t="shared" si="1"/>
        <v>8.454790530341393</v>
      </c>
      <c r="G28" s="19">
        <v>7</v>
      </c>
      <c r="H28" s="20">
        <f t="shared" si="2"/>
        <v>7.312755485108868</v>
      </c>
      <c r="I28" s="21">
        <f t="shared" si="3"/>
        <v>43.90214970327443</v>
      </c>
      <c r="J28" s="22">
        <v>30</v>
      </c>
      <c r="K28" s="23">
        <f t="shared" si="14"/>
        <v>8.516666666666667</v>
      </c>
      <c r="L28" s="24">
        <f t="shared" si="4"/>
        <v>10573.060169755217</v>
      </c>
      <c r="M28" s="25">
        <f t="shared" si="5"/>
        <v>-1413.9398302447826</v>
      </c>
      <c r="N28" s="26">
        <f>ROUND(V28*Hauptstelle!$J$54,Hauptstelle!W51)</f>
        <v>3200</v>
      </c>
      <c r="O28" s="27">
        <f t="shared" si="6"/>
        <v>10292.52446183953</v>
      </c>
      <c r="P28" s="24">
        <f t="shared" si="7"/>
        <v>0</v>
      </c>
      <c r="Q28" s="24">
        <f>(P28*(1/Hauptstelle!$J$52))+((L28/100)*Hauptstelle!$J$53)</f>
        <v>528.6530084877609</v>
      </c>
      <c r="R28" s="28">
        <f t="shared" si="8"/>
        <v>3700.571059414326</v>
      </c>
      <c r="S28" s="29">
        <f t="shared" si="9"/>
        <v>0.017075312165667232</v>
      </c>
      <c r="T28" s="28">
        <f t="shared" si="10"/>
        <v>613606</v>
      </c>
      <c r="U28" s="29">
        <f t="shared" si="11"/>
        <v>0.0471422623340979</v>
      </c>
      <c r="V28" s="29">
        <f t="shared" si="12"/>
        <v>0.032108787249882566</v>
      </c>
      <c r="W28" s="16">
        <f t="shared" si="13"/>
        <v>2454424</v>
      </c>
    </row>
    <row r="29" spans="1:23" ht="9">
      <c r="A29" s="134" t="s">
        <v>115</v>
      </c>
      <c r="B29" s="30">
        <v>28</v>
      </c>
      <c r="C29" s="31">
        <v>9660</v>
      </c>
      <c r="D29" s="18">
        <f t="shared" si="0"/>
        <v>4.074453681559934</v>
      </c>
      <c r="E29" s="30">
        <v>98474</v>
      </c>
      <c r="F29" s="18">
        <f t="shared" si="1"/>
        <v>9.498015499838443</v>
      </c>
      <c r="G29" s="19">
        <v>3.5</v>
      </c>
      <c r="H29" s="20">
        <f t="shared" si="2"/>
        <v>10.193995859213251</v>
      </c>
      <c r="I29" s="21">
        <f t="shared" si="3"/>
        <v>21.79948381973396</v>
      </c>
      <c r="J29" s="22">
        <v>30</v>
      </c>
      <c r="K29" s="23">
        <f t="shared" si="14"/>
        <v>8.516666666666667</v>
      </c>
      <c r="L29" s="24">
        <f t="shared" si="4"/>
        <v>11877.655515257879</v>
      </c>
      <c r="M29" s="25">
        <f t="shared" si="5"/>
        <v>2217.6555152578785</v>
      </c>
      <c r="N29" s="26">
        <f>ROUND(V29*Hauptstelle!$J$54,Hauptstelle!W51)</f>
        <v>2000</v>
      </c>
      <c r="O29" s="27">
        <f t="shared" si="6"/>
        <v>11562.504892367904</v>
      </c>
      <c r="P29" s="24">
        <f t="shared" si="7"/>
        <v>2217.6555152578785</v>
      </c>
      <c r="Q29" s="24">
        <f>(P29*(1/Hauptstelle!$J$52))+((L29/100)*Hauptstelle!$J$53)</f>
        <v>815.6483272886817</v>
      </c>
      <c r="R29" s="28">
        <f t="shared" si="8"/>
        <v>2854.769145510386</v>
      </c>
      <c r="S29" s="29">
        <f t="shared" si="9"/>
        <v>0.013172581619935106</v>
      </c>
      <c r="T29" s="28">
        <f t="shared" si="10"/>
        <v>344659</v>
      </c>
      <c r="U29" s="29">
        <f t="shared" si="11"/>
        <v>0.026479540607177648</v>
      </c>
      <c r="V29" s="29">
        <f t="shared" si="12"/>
        <v>0.01982606111355638</v>
      </c>
      <c r="W29" s="16">
        <f t="shared" si="13"/>
        <v>2757272</v>
      </c>
    </row>
    <row r="30" spans="1:23" ht="9">
      <c r="A30" s="134" t="s">
        <v>116</v>
      </c>
      <c r="B30" s="30">
        <v>28</v>
      </c>
      <c r="C30" s="31">
        <v>5684</v>
      </c>
      <c r="D30" s="18">
        <f t="shared" si="0"/>
        <v>2.3974321662512073</v>
      </c>
      <c r="E30" s="30">
        <v>43678</v>
      </c>
      <c r="F30" s="18">
        <f t="shared" si="1"/>
        <v>4.212831011251128</v>
      </c>
      <c r="G30" s="19">
        <v>7.778</v>
      </c>
      <c r="H30" s="20">
        <f t="shared" si="2"/>
        <v>7.6843771991555245</v>
      </c>
      <c r="I30" s="21">
        <f t="shared" si="3"/>
        <v>41.05135299277954</v>
      </c>
      <c r="J30" s="22">
        <v>30</v>
      </c>
      <c r="K30" s="23">
        <f t="shared" si="14"/>
        <v>8.516666666666667</v>
      </c>
      <c r="L30" s="24">
        <f t="shared" si="4"/>
        <v>5268.316891722015</v>
      </c>
      <c r="M30" s="25">
        <f t="shared" si="5"/>
        <v>-415.6831082779854</v>
      </c>
      <c r="N30" s="26">
        <f>ROUND(V30*Hauptstelle!$J$54,Hauptstelle!W51)</f>
        <v>1800</v>
      </c>
      <c r="O30" s="27">
        <f t="shared" si="6"/>
        <v>5128.53228962818</v>
      </c>
      <c r="P30" s="24">
        <f t="shared" si="7"/>
        <v>0</v>
      </c>
      <c r="Q30" s="24">
        <f>(P30*(1/Hauptstelle!$J$52))+((L30/100)*Hauptstelle!$J$53)</f>
        <v>263.4158445861007</v>
      </c>
      <c r="R30" s="28">
        <f t="shared" si="8"/>
        <v>2048.8484391906914</v>
      </c>
      <c r="S30" s="29">
        <f t="shared" si="9"/>
        <v>0.009453872420668506</v>
      </c>
      <c r="T30" s="28">
        <f t="shared" si="10"/>
        <v>339727.484</v>
      </c>
      <c r="U30" s="29">
        <f t="shared" si="11"/>
        <v>0.026100660966208035</v>
      </c>
      <c r="V30" s="29">
        <f t="shared" si="12"/>
        <v>0.017777266693438272</v>
      </c>
      <c r="W30" s="16">
        <f t="shared" si="13"/>
        <v>1222984</v>
      </c>
    </row>
    <row r="31" spans="1:23" ht="9">
      <c r="A31" s="134" t="s">
        <v>117</v>
      </c>
      <c r="B31" s="30">
        <v>28</v>
      </c>
      <c r="C31" s="31">
        <v>4256</v>
      </c>
      <c r="D31" s="18">
        <f t="shared" si="0"/>
        <v>1.7951216220206085</v>
      </c>
      <c r="E31" s="30">
        <v>18729</v>
      </c>
      <c r="F31" s="18">
        <f t="shared" si="1"/>
        <v>1.8064497460900764</v>
      </c>
      <c r="G31" s="19">
        <v>8</v>
      </c>
      <c r="H31" s="20">
        <f t="shared" si="2"/>
        <v>4.4006109022556394</v>
      </c>
      <c r="I31" s="21">
        <f t="shared" si="3"/>
        <v>66.24188896899783</v>
      </c>
      <c r="J31" s="22">
        <v>30</v>
      </c>
      <c r="K31" s="23">
        <f t="shared" si="14"/>
        <v>8.516666666666667</v>
      </c>
      <c r="L31" s="24">
        <f t="shared" si="4"/>
        <v>2259.0390371597055</v>
      </c>
      <c r="M31" s="25">
        <f t="shared" si="5"/>
        <v>-1996.9609628402945</v>
      </c>
      <c r="N31" s="26">
        <f>ROUND(V31*Hauptstelle!$J$54,Hauptstelle!W51)</f>
        <v>800</v>
      </c>
      <c r="O31" s="27">
        <f t="shared" si="6"/>
        <v>2199.0998043052837</v>
      </c>
      <c r="P31" s="24">
        <f t="shared" si="7"/>
        <v>0</v>
      </c>
      <c r="Q31" s="24">
        <f>(P31*(1/Hauptstelle!$J$52))+((L31/100)*Hauptstelle!$J$53)</f>
        <v>112.95195185798526</v>
      </c>
      <c r="R31" s="28">
        <f t="shared" si="8"/>
        <v>903.6156148638821</v>
      </c>
      <c r="S31" s="29">
        <f t="shared" si="9"/>
        <v>0.004169496667904571</v>
      </c>
      <c r="T31" s="28">
        <f t="shared" si="10"/>
        <v>149832</v>
      </c>
      <c r="U31" s="29">
        <f t="shared" si="11"/>
        <v>0.011511327219816228</v>
      </c>
      <c r="V31" s="29">
        <f t="shared" si="12"/>
        <v>0.0078404119438604</v>
      </c>
      <c r="W31" s="16">
        <f t="shared" si="13"/>
        <v>524412</v>
      </c>
    </row>
    <row r="32" spans="1:23" ht="9">
      <c r="A32" s="134" t="s">
        <v>118</v>
      </c>
      <c r="B32" s="30">
        <v>28</v>
      </c>
      <c r="C32" s="31">
        <v>3678</v>
      </c>
      <c r="D32" s="18">
        <f t="shared" si="0"/>
        <v>1.551329258879652</v>
      </c>
      <c r="E32" s="30">
        <v>9837</v>
      </c>
      <c r="F32" s="18">
        <f t="shared" si="1"/>
        <v>0.9487984490516357</v>
      </c>
      <c r="G32" s="19">
        <v>11.25</v>
      </c>
      <c r="H32" s="20">
        <f t="shared" si="2"/>
        <v>2.6745513866231647</v>
      </c>
      <c r="I32" s="21">
        <f t="shared" si="3"/>
        <v>79.48289347247983</v>
      </c>
      <c r="J32" s="22">
        <v>30</v>
      </c>
      <c r="K32" s="23">
        <f t="shared" si="14"/>
        <v>8.516666666666667</v>
      </c>
      <c r="L32" s="24">
        <f t="shared" si="4"/>
        <v>1186.511132924343</v>
      </c>
      <c r="M32" s="25">
        <f t="shared" si="5"/>
        <v>-2491.4888670756573</v>
      </c>
      <c r="N32" s="26">
        <f>ROUND(V32*Hauptstelle!$J$54,Hauptstelle!W51)</f>
        <v>600</v>
      </c>
      <c r="O32" s="27">
        <f t="shared" si="6"/>
        <v>1155.0293542074362</v>
      </c>
      <c r="P32" s="24">
        <f t="shared" si="7"/>
        <v>0</v>
      </c>
      <c r="Q32" s="24">
        <f>(P32*(1/Hauptstelle!$J$52))+((L32/100)*Hauptstelle!$J$53)</f>
        <v>59.32555664621715</v>
      </c>
      <c r="R32" s="28">
        <f t="shared" si="8"/>
        <v>667.4125122699429</v>
      </c>
      <c r="S32" s="29">
        <f t="shared" si="9"/>
        <v>0.0030795995556656404</v>
      </c>
      <c r="T32" s="28">
        <f t="shared" si="10"/>
        <v>110666.25</v>
      </c>
      <c r="U32" s="29">
        <f t="shared" si="11"/>
        <v>0.008502292006647363</v>
      </c>
      <c r="V32" s="29">
        <f t="shared" si="12"/>
        <v>0.005790945781156502</v>
      </c>
      <c r="W32" s="16">
        <f t="shared" si="13"/>
        <v>275436</v>
      </c>
    </row>
    <row r="33" spans="1:23" ht="9">
      <c r="A33" s="134" t="s">
        <v>119</v>
      </c>
      <c r="B33" s="30">
        <v>28</v>
      </c>
      <c r="C33" s="31">
        <v>2098</v>
      </c>
      <c r="D33" s="18">
        <f t="shared" si="0"/>
        <v>0.8849072281483168</v>
      </c>
      <c r="E33" s="30">
        <v>8393</v>
      </c>
      <c r="F33" s="18">
        <f t="shared" si="1"/>
        <v>0.8095217426949656</v>
      </c>
      <c r="G33" s="19">
        <v>10.71</v>
      </c>
      <c r="H33" s="20">
        <f t="shared" si="2"/>
        <v>4.0004766444232605</v>
      </c>
      <c r="I33" s="21">
        <f t="shared" si="3"/>
        <v>69.31141204278046</v>
      </c>
      <c r="J33" s="22">
        <v>30</v>
      </c>
      <c r="K33" s="23">
        <f t="shared" si="14"/>
        <v>8.516666666666667</v>
      </c>
      <c r="L33" s="24">
        <f t="shared" si="4"/>
        <v>1012.3399348006518</v>
      </c>
      <c r="M33" s="25">
        <f t="shared" si="5"/>
        <v>-1085.660065199348</v>
      </c>
      <c r="N33" s="26">
        <f>ROUND(V33*Hauptstelle!$J$54,Hauptstelle!W51)</f>
        <v>500</v>
      </c>
      <c r="O33" s="27">
        <f t="shared" si="6"/>
        <v>985.4794520547945</v>
      </c>
      <c r="P33" s="24">
        <f t="shared" si="7"/>
        <v>0</v>
      </c>
      <c r="Q33" s="24">
        <f>(P33*(1/Hauptstelle!$J$52))+((L33/100)*Hauptstelle!$J$53)</f>
        <v>50.61699674003259</v>
      </c>
      <c r="R33" s="28">
        <f t="shared" si="8"/>
        <v>542.1080350857491</v>
      </c>
      <c r="S33" s="29">
        <f t="shared" si="9"/>
        <v>0.0025014149918987537</v>
      </c>
      <c r="T33" s="28">
        <f t="shared" si="10"/>
        <v>89889.03000000001</v>
      </c>
      <c r="U33" s="29">
        <f t="shared" si="11"/>
        <v>0.006906014988799974</v>
      </c>
      <c r="V33" s="29">
        <f t="shared" si="12"/>
        <v>0.004703714990349364</v>
      </c>
      <c r="W33" s="16">
        <f t="shared" si="13"/>
        <v>235004</v>
      </c>
    </row>
    <row r="34" spans="1:23" ht="9">
      <c r="A34" s="134" t="s">
        <v>120</v>
      </c>
      <c r="B34" s="30">
        <v>28</v>
      </c>
      <c r="C34" s="31">
        <v>1345</v>
      </c>
      <c r="D34" s="18">
        <f t="shared" si="0"/>
        <v>0.5673022983124338</v>
      </c>
      <c r="E34" s="30">
        <v>15632</v>
      </c>
      <c r="F34" s="18">
        <f t="shared" si="1"/>
        <v>1.5077378627198503</v>
      </c>
      <c r="G34" s="19">
        <v>20</v>
      </c>
      <c r="H34" s="20">
        <f t="shared" si="2"/>
        <v>11.622304832713755</v>
      </c>
      <c r="I34" s="21">
        <f t="shared" si="3"/>
        <v>10.842593064113652</v>
      </c>
      <c r="J34" s="22">
        <v>30</v>
      </c>
      <c r="K34" s="23">
        <f t="shared" si="14"/>
        <v>8.516666666666667</v>
      </c>
      <c r="L34" s="24">
        <f t="shared" si="4"/>
        <v>1885.4876517102095</v>
      </c>
      <c r="M34" s="25">
        <f t="shared" si="5"/>
        <v>540.4876517102095</v>
      </c>
      <c r="N34" s="26">
        <f>ROUND(V34*Hauptstelle!$J$54,Hauptstelle!W51)</f>
        <v>1900</v>
      </c>
      <c r="O34" s="27">
        <f t="shared" si="6"/>
        <v>1835.4598825831702</v>
      </c>
      <c r="P34" s="24">
        <f t="shared" si="7"/>
        <v>540.4876517102095</v>
      </c>
      <c r="Q34" s="24">
        <f>(P34*(1/Hauptstelle!$J$52))+((L34/100)*Hauptstelle!$J$53)</f>
        <v>148.32314775653145</v>
      </c>
      <c r="R34" s="28">
        <f t="shared" si="8"/>
        <v>2966.462955130629</v>
      </c>
      <c r="S34" s="29">
        <f t="shared" si="9"/>
        <v>0.013687963336869384</v>
      </c>
      <c r="T34" s="28">
        <f t="shared" si="10"/>
        <v>312640</v>
      </c>
      <c r="U34" s="29">
        <f t="shared" si="11"/>
        <v>0.024019577540200662</v>
      </c>
      <c r="V34" s="29">
        <f t="shared" si="12"/>
        <v>0.018853770438535023</v>
      </c>
      <c r="W34" s="16">
        <f t="shared" si="13"/>
        <v>437696</v>
      </c>
    </row>
    <row r="35" spans="1:23" ht="9">
      <c r="A35" s="134" t="s">
        <v>121</v>
      </c>
      <c r="B35" s="30">
        <v>28</v>
      </c>
      <c r="C35" s="31">
        <v>736</v>
      </c>
      <c r="D35" s="18">
        <f t="shared" si="0"/>
        <v>0.31043456621409016</v>
      </c>
      <c r="E35" s="30">
        <v>2381</v>
      </c>
      <c r="F35" s="18">
        <f t="shared" si="1"/>
        <v>0.22965224226816552</v>
      </c>
      <c r="G35" s="19">
        <v>10</v>
      </c>
      <c r="H35" s="20">
        <f t="shared" si="2"/>
        <v>3.235054347826087</v>
      </c>
      <c r="I35" s="21">
        <f t="shared" si="3"/>
        <v>75.18314472900536</v>
      </c>
      <c r="J35" s="22">
        <v>30</v>
      </c>
      <c r="K35" s="23">
        <f t="shared" si="14"/>
        <v>8.516666666666667</v>
      </c>
      <c r="L35" s="24">
        <f t="shared" si="4"/>
        <v>287.1894894269453</v>
      </c>
      <c r="M35" s="25">
        <f t="shared" si="5"/>
        <v>-448.8105105730547</v>
      </c>
      <c r="N35" s="26">
        <f>ROUND(V35*Hauptstelle!$J$54,Hauptstelle!W51)</f>
        <v>100</v>
      </c>
      <c r="O35" s="27">
        <f t="shared" si="6"/>
        <v>279.5694716242661</v>
      </c>
      <c r="P35" s="24">
        <f t="shared" si="7"/>
        <v>0</v>
      </c>
      <c r="Q35" s="24">
        <f>(P35*(1/Hauptstelle!$J$52))+((L35/100)*Hauptstelle!$J$53)</f>
        <v>14.359474471347264</v>
      </c>
      <c r="R35" s="28">
        <f t="shared" si="8"/>
        <v>143.59474471347264</v>
      </c>
      <c r="S35" s="29">
        <f t="shared" si="9"/>
        <v>0.0006625801942362635</v>
      </c>
      <c r="T35" s="28">
        <f t="shared" si="10"/>
        <v>23810</v>
      </c>
      <c r="U35" s="29">
        <f t="shared" si="11"/>
        <v>0.0018292801344427384</v>
      </c>
      <c r="V35" s="29">
        <f t="shared" si="12"/>
        <v>0.001245930164339501</v>
      </c>
      <c r="W35" s="16">
        <f t="shared" si="13"/>
        <v>66668</v>
      </c>
    </row>
    <row r="36" spans="1:23" ht="9">
      <c r="A36" s="134" t="s">
        <v>122</v>
      </c>
      <c r="B36" s="30">
        <v>28</v>
      </c>
      <c r="C36" s="31">
        <v>245</v>
      </c>
      <c r="D36" s="18">
        <f t="shared" si="0"/>
        <v>0.10333759337289687</v>
      </c>
      <c r="E36" s="30">
        <v>456</v>
      </c>
      <c r="F36" s="18">
        <f t="shared" si="1"/>
        <v>0.04398211779684313</v>
      </c>
      <c r="G36" s="19">
        <v>10</v>
      </c>
      <c r="H36" s="20">
        <f t="shared" si="2"/>
        <v>1.8612244897959183</v>
      </c>
      <c r="I36" s="21">
        <f t="shared" si="3"/>
        <v>85.72211350293543</v>
      </c>
      <c r="J36" s="22">
        <v>30</v>
      </c>
      <c r="K36" s="23">
        <f t="shared" si="14"/>
        <v>8.516666666666667</v>
      </c>
      <c r="L36" s="24">
        <f t="shared" si="4"/>
        <v>55.00143098642883</v>
      </c>
      <c r="M36" s="25">
        <f t="shared" si="5"/>
        <v>-189.99856901357117</v>
      </c>
      <c r="N36" s="26">
        <f>ROUND(V36*Hauptstelle!$J$54,Hauptstelle!W51)</f>
        <v>0</v>
      </c>
      <c r="O36" s="27">
        <f t="shared" si="6"/>
        <v>53.542074363992164</v>
      </c>
      <c r="P36" s="24">
        <f t="shared" si="7"/>
        <v>0</v>
      </c>
      <c r="Q36" s="24">
        <f>(P36*(1/Hauptstelle!$J$52))+((L36/100)*Hauptstelle!$J$53)</f>
        <v>2.750071549321442</v>
      </c>
      <c r="R36" s="28">
        <f t="shared" si="8"/>
        <v>27.500715493214418</v>
      </c>
      <c r="S36" s="29">
        <f t="shared" si="9"/>
        <v>0.00012689482090371112</v>
      </c>
      <c r="T36" s="28">
        <f t="shared" si="10"/>
        <v>4560</v>
      </c>
      <c r="U36" s="29">
        <f t="shared" si="11"/>
        <v>0.000350336724613981</v>
      </c>
      <c r="V36" s="29">
        <f t="shared" si="12"/>
        <v>0.00023861577275884605</v>
      </c>
      <c r="W36" s="16">
        <f t="shared" si="13"/>
        <v>12768</v>
      </c>
    </row>
    <row r="37" spans="1:23" s="44" customFormat="1" ht="9">
      <c r="A37" s="32" t="s">
        <v>6</v>
      </c>
      <c r="B37" s="32">
        <f>IF(E37=0,SUM(B2:B36)/35,W37/E37)</f>
        <v>28.051703013967163</v>
      </c>
      <c r="C37" s="32">
        <f>SUM(C2:C36)</f>
        <v>159043</v>
      </c>
      <c r="D37" s="32">
        <f>SUM(D2:D36)</f>
        <v>67.08212597063526</v>
      </c>
      <c r="E37" s="32">
        <f>SUM(E2:E36)</f>
        <v>799876</v>
      </c>
      <c r="F37" s="32"/>
      <c r="G37" s="33"/>
      <c r="H37" s="34">
        <f>E37/C37</f>
        <v>5.0293065397408245</v>
      </c>
      <c r="I37" s="35">
        <f t="shared" si="3"/>
        <v>61.347777145476044</v>
      </c>
      <c r="J37" s="36"/>
      <c r="K37" s="36"/>
      <c r="L37" s="32">
        <f>SUM(L2:L36)</f>
        <v>159043</v>
      </c>
      <c r="M37" s="37"/>
      <c r="N37" s="38">
        <f>SUM(N2:N36)</f>
        <v>70600</v>
      </c>
      <c r="O37" s="39">
        <f>SUM(O2:O36)</f>
        <v>154823.10151482307</v>
      </c>
      <c r="P37" s="40"/>
      <c r="Q37" s="41"/>
      <c r="R37" s="42">
        <f>SUM(R2:R36)</f>
        <v>144058.63112471686</v>
      </c>
      <c r="S37" s="43"/>
      <c r="T37" s="42">
        <f>SUM(T2:T36)</f>
        <v>9789011.973999998</v>
      </c>
      <c r="U37" s="43"/>
      <c r="V37" s="43"/>
      <c r="W37" s="16">
        <f>SUM(W2:W36)</f>
        <v>22437884</v>
      </c>
    </row>
    <row r="38" spans="2:20" ht="9">
      <c r="B38" s="44"/>
      <c r="G38" s="16" t="s">
        <v>125</v>
      </c>
      <c r="Q38" s="47" t="s">
        <v>84</v>
      </c>
      <c r="R38" s="47">
        <f>Zweigstelle_1!$R$37</f>
        <v>15473.216257853743</v>
      </c>
      <c r="S38" s="47"/>
      <c r="T38" s="47">
        <f>Zweigstelle_1!$T$37</f>
        <v>777786.18</v>
      </c>
    </row>
    <row r="39" spans="1:20" s="15" customFormat="1" ht="67.5">
      <c r="A39" s="48" t="s">
        <v>63</v>
      </c>
      <c r="B39" s="49" t="s">
        <v>96</v>
      </c>
      <c r="C39" s="50" t="s">
        <v>98</v>
      </c>
      <c r="D39" s="50" t="s">
        <v>102</v>
      </c>
      <c r="E39" s="50" t="s">
        <v>99</v>
      </c>
      <c r="F39" s="50" t="s">
        <v>103</v>
      </c>
      <c r="G39" s="51"/>
      <c r="H39" s="50" t="s">
        <v>100</v>
      </c>
      <c r="I39" s="50" t="s">
        <v>101</v>
      </c>
      <c r="J39" s="52"/>
      <c r="K39" s="53"/>
      <c r="L39" s="50"/>
      <c r="M39" s="54"/>
      <c r="N39" s="132" t="s">
        <v>76</v>
      </c>
      <c r="Q39" s="55" t="s">
        <v>86</v>
      </c>
      <c r="R39" s="56">
        <f>Zweigstelle_2!$R$37</f>
        <v>22175.07285853095</v>
      </c>
      <c r="S39" s="57"/>
      <c r="T39" s="56">
        <f>Zweigstelle_2!$T$37</f>
        <v>767675.6599999999</v>
      </c>
    </row>
    <row r="40" spans="1:23" ht="9">
      <c r="A40" s="58" t="s">
        <v>40</v>
      </c>
      <c r="B40" s="58">
        <f>Hauptstelle!B37</f>
        <v>28.051703013967163</v>
      </c>
      <c r="C40" s="58">
        <f>C37</f>
        <v>159043</v>
      </c>
      <c r="D40" s="58">
        <f aca="true" t="shared" si="15" ref="D40:D50">C40/$C$50*100</f>
        <v>67.08212597063525</v>
      </c>
      <c r="E40" s="58">
        <f>E37</f>
        <v>799876</v>
      </c>
      <c r="F40" s="58">
        <f aca="true" t="shared" si="16" ref="F40:F50">E40/$E$50*100</f>
        <v>77.14965012032388</v>
      </c>
      <c r="G40" s="59"/>
      <c r="H40" s="60">
        <f>Hauptstelle!H37</f>
        <v>5.0293065397408245</v>
      </c>
      <c r="I40" s="60">
        <f>Hauptstelle!I37</f>
        <v>61.347777145476044</v>
      </c>
      <c r="J40" s="61"/>
      <c r="K40" s="58"/>
      <c r="L40" s="62"/>
      <c r="M40" s="58"/>
      <c r="N40" s="63">
        <f>Hauptstelle!N37</f>
        <v>70600</v>
      </c>
      <c r="Q40" s="47" t="s">
        <v>87</v>
      </c>
      <c r="R40" s="47">
        <f>Zweigstelle_3!$R$37</f>
        <v>11361.38383851229</v>
      </c>
      <c r="S40" s="47"/>
      <c r="T40" s="47">
        <f>Zweigstelle_3!$T$37</f>
        <v>550987.13</v>
      </c>
      <c r="W40" s="16">
        <f aca="true" t="shared" si="17" ref="W40:W49">B40*E40</f>
        <v>22437884</v>
      </c>
    </row>
    <row r="41" spans="1:23" ht="9">
      <c r="A41" s="58" t="s">
        <v>8</v>
      </c>
      <c r="B41" s="58">
        <f>Zweigstelle_1!B37</f>
        <v>28</v>
      </c>
      <c r="C41" s="64">
        <f>Zweigstelle_1!$C$37</f>
        <v>16532</v>
      </c>
      <c r="D41" s="58">
        <f t="shared" si="15"/>
        <v>6.97296772914584</v>
      </c>
      <c r="E41" s="64">
        <f>Zweigstelle_1!$E$37</f>
        <v>52555</v>
      </c>
      <c r="F41" s="58">
        <f t="shared" si="16"/>
        <v>5.069035528098883</v>
      </c>
      <c r="G41" s="59"/>
      <c r="H41" s="60">
        <f>Zweigstelle_1!H37</f>
        <v>3.178986208565207</v>
      </c>
      <c r="I41" s="60">
        <f>Zweigstelle_1!I37</f>
        <v>75.61325648223949</v>
      </c>
      <c r="J41" s="61"/>
      <c r="K41" s="58"/>
      <c r="L41" s="62"/>
      <c r="M41" s="58"/>
      <c r="N41" s="63">
        <f>Zweigstelle_1!N37</f>
        <v>6600</v>
      </c>
      <c r="Q41" s="47" t="s">
        <v>88</v>
      </c>
      <c r="R41" s="47">
        <f>Zweigstelle_4!$R$37</f>
        <v>16411.48612031167</v>
      </c>
      <c r="S41" s="47"/>
      <c r="T41" s="47">
        <f>Zweigstelle_4!$T$37</f>
        <v>530629.47</v>
      </c>
      <c r="W41" s="16">
        <f t="shared" si="17"/>
        <v>1471540</v>
      </c>
    </row>
    <row r="42" spans="1:23" ht="9">
      <c r="A42" s="58" t="s">
        <v>9</v>
      </c>
      <c r="B42" s="58">
        <f>Zweigstelle_2!B37</f>
        <v>28</v>
      </c>
      <c r="C42" s="64">
        <f>Zweigstelle_2!$C$37</f>
        <v>23551</v>
      </c>
      <c r="D42" s="58">
        <f t="shared" si="15"/>
        <v>9.933484332755487</v>
      </c>
      <c r="E42" s="64">
        <f>Zweigstelle_2!$E$37</f>
        <v>56396</v>
      </c>
      <c r="F42" s="58">
        <f t="shared" si="16"/>
        <v>5.439507708927116</v>
      </c>
      <c r="G42" s="59"/>
      <c r="H42" s="60">
        <f>Zweigstelle_2!H37</f>
        <v>2.394632924291962</v>
      </c>
      <c r="I42" s="60">
        <f>Zweigstelle_2!I37</f>
        <v>81.63021318351372</v>
      </c>
      <c r="J42" s="61"/>
      <c r="K42" s="58"/>
      <c r="L42" s="62"/>
      <c r="M42" s="58"/>
      <c r="N42" s="63">
        <f>Zweigstelle_2!N37</f>
        <v>8100</v>
      </c>
      <c r="Q42" s="47" t="s">
        <v>89</v>
      </c>
      <c r="R42" s="47">
        <f>Zweigstelle_5!$R$37</f>
        <v>6398.76070484464</v>
      </c>
      <c r="S42" s="47"/>
      <c r="T42" s="47">
        <f>Zweigstelle_5!$T$37</f>
        <v>549438.66</v>
      </c>
      <c r="W42" s="16">
        <f t="shared" si="17"/>
        <v>1579088</v>
      </c>
    </row>
    <row r="43" spans="1:23" ht="9">
      <c r="A43" s="58" t="s">
        <v>10</v>
      </c>
      <c r="B43" s="58">
        <f>Zweigstelle_3!B37</f>
        <v>28</v>
      </c>
      <c r="C43" s="64">
        <f>Zweigstelle_3!$C$37</f>
        <v>11041</v>
      </c>
      <c r="D43" s="58">
        <f t="shared" si="15"/>
        <v>4.6569402793067525</v>
      </c>
      <c r="E43" s="64">
        <f>Zweigstelle_3!$E$37</f>
        <v>40904</v>
      </c>
      <c r="F43" s="58">
        <f t="shared" si="16"/>
        <v>3.9452731279869986</v>
      </c>
      <c r="G43" s="59"/>
      <c r="H43" s="60">
        <f>Zweigstelle_3!H37</f>
        <v>3.704736889774477</v>
      </c>
      <c r="I43" s="60">
        <f>Zweigstelle_3!I37</f>
        <v>71.58010057159306</v>
      </c>
      <c r="J43" s="61"/>
      <c r="K43" s="58"/>
      <c r="L43" s="62"/>
      <c r="M43" s="58"/>
      <c r="N43" s="63">
        <f>Zweigstelle_3!N37</f>
        <v>4800</v>
      </c>
      <c r="Q43" s="47" t="s">
        <v>90</v>
      </c>
      <c r="R43" s="47">
        <f>Zweigstelle_6!$R$37</f>
        <v>0</v>
      </c>
      <c r="S43" s="47"/>
      <c r="T43" s="47">
        <f>Zweigstelle_6!$T$37</f>
        <v>0</v>
      </c>
      <c r="W43" s="16">
        <f t="shared" si="17"/>
        <v>1145312</v>
      </c>
    </row>
    <row r="44" spans="1:23" ht="9">
      <c r="A44" s="58" t="s">
        <v>11</v>
      </c>
      <c r="B44" s="58">
        <f>Zweigstelle_4!B37</f>
        <v>28</v>
      </c>
      <c r="C44" s="64">
        <f>Zweigstelle_4!$C$37</f>
        <v>17237</v>
      </c>
      <c r="D44" s="58">
        <f t="shared" si="15"/>
        <v>7.270326926402544</v>
      </c>
      <c r="E44" s="64">
        <f>Zweigstelle_4!$E$37</f>
        <v>40412</v>
      </c>
      <c r="F44" s="58">
        <f t="shared" si="16"/>
        <v>3.8978187377325098</v>
      </c>
      <c r="G44" s="59"/>
      <c r="H44" s="60">
        <f>Zweigstelle_4!H37</f>
        <v>2.3444915008412135</v>
      </c>
      <c r="I44" s="60">
        <f>Zweigstelle_4!I37</f>
        <v>82.01485971957425</v>
      </c>
      <c r="J44" s="61"/>
      <c r="K44" s="58"/>
      <c r="L44" s="62"/>
      <c r="M44" s="58"/>
      <c r="N44" s="63">
        <f>Zweigstelle_4!N37</f>
        <v>5800</v>
      </c>
      <c r="Q44" s="47" t="s">
        <v>91</v>
      </c>
      <c r="R44" s="47">
        <f>Zweigstelle_7!$R$37</f>
        <v>0</v>
      </c>
      <c r="S44" s="47"/>
      <c r="T44" s="47">
        <f>Zweigstelle_7!$T$37</f>
        <v>0</v>
      </c>
      <c r="W44" s="16">
        <f t="shared" si="17"/>
        <v>1131536</v>
      </c>
    </row>
    <row r="45" spans="1:23" ht="9">
      <c r="A45" s="58" t="s">
        <v>12</v>
      </c>
      <c r="B45" s="58">
        <f>Zweigstelle_5!B37</f>
        <v>27.618899225516703</v>
      </c>
      <c r="C45" s="64">
        <f>Zweigstelle_5!$C$37</f>
        <v>8683</v>
      </c>
      <c r="D45" s="58">
        <f t="shared" si="15"/>
        <v>3.662368666354545</v>
      </c>
      <c r="E45" s="64">
        <f>Zweigstelle_5!$E$37</f>
        <v>43642</v>
      </c>
      <c r="F45" s="58">
        <f t="shared" si="16"/>
        <v>4.209358738793481</v>
      </c>
      <c r="G45" s="59"/>
      <c r="H45" s="60">
        <f>Zweigstelle_5!H37</f>
        <v>5.026143038120465</v>
      </c>
      <c r="I45" s="60">
        <f>Zweigstelle_5!I37</f>
        <v>61.96807176359412</v>
      </c>
      <c r="J45" s="61"/>
      <c r="K45" s="58"/>
      <c r="L45" s="62"/>
      <c r="M45" s="58"/>
      <c r="N45" s="63">
        <f>Zweigstelle_5!N37</f>
        <v>3600</v>
      </c>
      <c r="Q45" s="47" t="s">
        <v>92</v>
      </c>
      <c r="R45" s="47">
        <f>Zweigstelle_8!$R$37</f>
        <v>0</v>
      </c>
      <c r="S45" s="47"/>
      <c r="T45" s="47">
        <f>Zweigstelle_8!$T$37</f>
        <v>0</v>
      </c>
      <c r="W45" s="16">
        <f t="shared" si="17"/>
        <v>1205344</v>
      </c>
    </row>
    <row r="46" spans="1:23" ht="9">
      <c r="A46" s="58" t="s">
        <v>13</v>
      </c>
      <c r="B46" s="58">
        <f>Zweigstelle_6!B37</f>
        <v>28.2</v>
      </c>
      <c r="C46" s="64">
        <f>Zweigstelle_6!$C$37</f>
        <v>0</v>
      </c>
      <c r="D46" s="58">
        <f t="shared" si="15"/>
        <v>0</v>
      </c>
      <c r="E46" s="64">
        <f>Zweigstelle_6!$E$37</f>
        <v>0</v>
      </c>
      <c r="F46" s="58">
        <f t="shared" si="16"/>
        <v>0</v>
      </c>
      <c r="G46" s="59"/>
      <c r="H46" s="60" t="e">
        <f>Zweigstelle_6!H37</f>
        <v>#DIV/0!</v>
      </c>
      <c r="I46" s="60" t="e">
        <f>Zweigstelle_6!I37</f>
        <v>#DIV/0!</v>
      </c>
      <c r="J46" s="61"/>
      <c r="K46" s="58"/>
      <c r="L46" s="62"/>
      <c r="M46" s="58"/>
      <c r="N46" s="63">
        <f>Zweigstelle_6!N37</f>
        <v>0</v>
      </c>
      <c r="Q46" s="47" t="s">
        <v>93</v>
      </c>
      <c r="R46" s="47">
        <f>Zweigstelle_9!$R$37</f>
        <v>842</v>
      </c>
      <c r="S46" s="47"/>
      <c r="T46" s="47">
        <f>Zweigstelle_9!$T$37</f>
        <v>50520</v>
      </c>
      <c r="W46" s="16">
        <f t="shared" si="17"/>
        <v>0</v>
      </c>
    </row>
    <row r="47" spans="1:23" ht="9">
      <c r="A47" s="58" t="s">
        <v>14</v>
      </c>
      <c r="B47" s="58">
        <f>Zweigstelle_7!B37</f>
        <v>28.2</v>
      </c>
      <c r="C47" s="64">
        <f>Zweigstelle_7!$C$37</f>
        <v>0</v>
      </c>
      <c r="D47" s="58">
        <f t="shared" si="15"/>
        <v>0</v>
      </c>
      <c r="E47" s="64">
        <f>Zweigstelle_7!$E$37</f>
        <v>0</v>
      </c>
      <c r="F47" s="58">
        <f t="shared" si="16"/>
        <v>0</v>
      </c>
      <c r="G47" s="59"/>
      <c r="H47" s="60" t="e">
        <f>Zweigstelle_7!H37</f>
        <v>#DIV/0!</v>
      </c>
      <c r="I47" s="60" t="e">
        <f>Zweigstelle_7!I37</f>
        <v>#DIV/0!</v>
      </c>
      <c r="J47" s="61"/>
      <c r="K47" s="58"/>
      <c r="L47" s="62"/>
      <c r="M47" s="58"/>
      <c r="N47" s="63">
        <f>Zweigstelle_7!N37</f>
        <v>0</v>
      </c>
      <c r="Q47" s="47" t="s">
        <v>85</v>
      </c>
      <c r="R47" s="47">
        <f>SUM(R37:R46)</f>
        <v>216720.55090477015</v>
      </c>
      <c r="S47" s="47"/>
      <c r="T47" s="47">
        <f>SUM(T37:T46)</f>
        <v>13016049.074</v>
      </c>
      <c r="W47" s="16">
        <f t="shared" si="17"/>
        <v>0</v>
      </c>
    </row>
    <row r="48" spans="1:23" ht="9">
      <c r="A48" s="58" t="s">
        <v>15</v>
      </c>
      <c r="B48" s="58">
        <f>Zweigstelle_8!B37</f>
        <v>28.2</v>
      </c>
      <c r="C48" s="64">
        <f>Zweigstelle_8!$C$37</f>
        <v>0</v>
      </c>
      <c r="D48" s="58">
        <f t="shared" si="15"/>
        <v>0</v>
      </c>
      <c r="E48" s="64">
        <f>Zweigstelle_8!$E$37</f>
        <v>0</v>
      </c>
      <c r="F48" s="58">
        <f t="shared" si="16"/>
        <v>0</v>
      </c>
      <c r="G48" s="59"/>
      <c r="H48" s="60" t="e">
        <f>Zweigstelle_8!H37</f>
        <v>#DIV/0!</v>
      </c>
      <c r="I48" s="60" t="e">
        <f>Zweigstelle_8!I37</f>
        <v>#DIV/0!</v>
      </c>
      <c r="J48" s="61"/>
      <c r="K48" s="58"/>
      <c r="L48" s="62"/>
      <c r="M48" s="58"/>
      <c r="N48" s="63">
        <f>Zweigstelle_8!N37</f>
        <v>0</v>
      </c>
      <c r="W48" s="16">
        <f t="shared" si="17"/>
        <v>0</v>
      </c>
    </row>
    <row r="49" spans="1:23" ht="9">
      <c r="A49" s="58" t="s">
        <v>16</v>
      </c>
      <c r="B49" s="58">
        <f>Zweigstelle_9!B37</f>
        <v>28</v>
      </c>
      <c r="C49" s="64">
        <f>Zweigstelle_9!$C$37</f>
        <v>1000</v>
      </c>
      <c r="D49" s="58">
        <f t="shared" si="15"/>
        <v>0.42178609539957906</v>
      </c>
      <c r="E49" s="64">
        <f>Zweigstelle_9!$E$37</f>
        <v>3000</v>
      </c>
      <c r="F49" s="58">
        <f t="shared" si="16"/>
        <v>0.28935603813712585</v>
      </c>
      <c r="G49" s="59"/>
      <c r="H49" s="60">
        <f>Zweigstelle_9!H37</f>
        <v>3</v>
      </c>
      <c r="I49" s="60">
        <f>Zweigstelle_9!I37</f>
        <v>76.98630136986301</v>
      </c>
      <c r="J49" s="61"/>
      <c r="K49" s="58"/>
      <c r="L49" s="62"/>
      <c r="M49" s="58"/>
      <c r="N49" s="63">
        <f>Zweigstelle_9!N37</f>
        <v>400</v>
      </c>
      <c r="W49" s="16">
        <f t="shared" si="17"/>
        <v>84000</v>
      </c>
    </row>
    <row r="50" spans="1:23" ht="9">
      <c r="A50" s="65" t="s">
        <v>77</v>
      </c>
      <c r="B50" s="65">
        <f>IF(E50=0,SUM(W40:W49)/10,W50/E50)</f>
        <v>28.023846795623008</v>
      </c>
      <c r="C50" s="66">
        <f>SUM(C40:C49)</f>
        <v>237087</v>
      </c>
      <c r="D50" s="65">
        <f t="shared" si="15"/>
        <v>100</v>
      </c>
      <c r="E50" s="66">
        <f>SUM(E40:E49)</f>
        <v>1036785</v>
      </c>
      <c r="F50" s="65">
        <f t="shared" si="16"/>
        <v>100</v>
      </c>
      <c r="G50" s="67"/>
      <c r="H50" s="68">
        <f>E50/C50</f>
        <v>4.373014969188525</v>
      </c>
      <c r="I50" s="35">
        <f>((365-(H50*30))*100)/365</f>
        <v>64.0574112121491</v>
      </c>
      <c r="J50" s="69"/>
      <c r="K50" s="65"/>
      <c r="L50" s="70"/>
      <c r="M50" s="65"/>
      <c r="N50" s="63">
        <f>SUM(N40:N49)</f>
        <v>99900</v>
      </c>
      <c r="W50" s="16">
        <f>SUM(W40:W49)</f>
        <v>29054704</v>
      </c>
    </row>
    <row r="51" spans="6:23" ht="9">
      <c r="F51" s="44"/>
      <c r="G51" s="71"/>
      <c r="H51" s="44"/>
      <c r="I51" s="44"/>
      <c r="J51" s="72"/>
      <c r="K51" s="44"/>
      <c r="L51" s="73"/>
      <c r="N51" s="74" t="s">
        <v>106</v>
      </c>
      <c r="W51" s="16">
        <f>IF(J55=10,-1,-2)</f>
        <v>-2</v>
      </c>
    </row>
    <row r="52" spans="2:14" ht="9">
      <c r="B52" s="75" t="s">
        <v>67</v>
      </c>
      <c r="C52" s="41"/>
      <c r="D52" s="76"/>
      <c r="E52" s="41"/>
      <c r="F52" s="76"/>
      <c r="G52" s="41"/>
      <c r="H52" s="77"/>
      <c r="I52" s="78"/>
      <c r="J52" s="79">
        <v>10</v>
      </c>
      <c r="N52" s="80" t="s">
        <v>107</v>
      </c>
    </row>
    <row r="53" spans="2:14" ht="9">
      <c r="B53" s="81" t="s">
        <v>95</v>
      </c>
      <c r="C53" s="17"/>
      <c r="D53" s="82"/>
      <c r="E53" s="17"/>
      <c r="F53" s="82"/>
      <c r="G53" s="17"/>
      <c r="H53" s="83"/>
      <c r="I53" s="21"/>
      <c r="J53" s="84">
        <v>5</v>
      </c>
      <c r="N53" s="80" t="s">
        <v>108</v>
      </c>
    </row>
    <row r="54" spans="2:14" ht="9">
      <c r="B54" s="39" t="s">
        <v>94</v>
      </c>
      <c r="C54" s="41"/>
      <c r="D54" s="76"/>
      <c r="E54" s="41"/>
      <c r="F54" s="76"/>
      <c r="G54" s="41"/>
      <c r="H54" s="85"/>
      <c r="I54" s="78"/>
      <c r="J54" s="86">
        <v>100000</v>
      </c>
      <c r="N54" s="80" t="s">
        <v>109</v>
      </c>
    </row>
    <row r="55" spans="2:14" ht="9">
      <c r="B55" s="87" t="s">
        <v>105</v>
      </c>
      <c r="C55" s="2"/>
      <c r="D55" s="2"/>
      <c r="E55" s="2"/>
      <c r="F55" s="2"/>
      <c r="G55" s="88"/>
      <c r="H55" s="2"/>
      <c r="I55" s="2"/>
      <c r="J55" s="89">
        <v>100</v>
      </c>
      <c r="N55" s="90" t="s">
        <v>110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7" r:id="rId1"/>
  <rowBreaks count="1" manualBreakCount="1">
    <brk id="38" max="255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2" sqref="G2:G36"/>
    </sheetView>
  </sheetViews>
  <sheetFormatPr defaultColWidth="11.421875" defaultRowHeight="12.75"/>
  <cols>
    <col min="1" max="1" width="19.140625" style="93" customWidth="1"/>
    <col min="2" max="2" width="6.1406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10" width="10.57421875" style="93" bestFit="1" customWidth="1"/>
    <col min="11" max="11" width="6.28125" style="93" bestFit="1" customWidth="1"/>
    <col min="12" max="12" width="6.8515625" style="93" bestFit="1" customWidth="1"/>
    <col min="13" max="13" width="6.00390625" style="93" bestFit="1" customWidth="1"/>
    <col min="14" max="14" width="14.28125" style="93" bestFit="1" customWidth="1"/>
    <col min="15" max="22" width="13.57421875" style="93" bestFit="1" customWidth="1"/>
    <col min="23" max="23" width="12.28125" style="93" customWidth="1"/>
    <col min="24" max="16384" width="11.421875" style="93" customWidth="1"/>
  </cols>
  <sheetData>
    <row r="1" spans="1:23" ht="27">
      <c r="A1" s="1" t="s">
        <v>15</v>
      </c>
      <c r="B1" s="91" t="s">
        <v>96</v>
      </c>
      <c r="C1" s="2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92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34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16.84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34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14.9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34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11.21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34" t="s">
        <v>112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13.61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34" t="s">
        <v>3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34" t="s">
        <v>41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19.4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34" t="s">
        <v>42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25.8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34" t="s">
        <v>43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13.5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34" t="s">
        <v>44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13.95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34" t="s">
        <v>45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25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34" t="s">
        <v>46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9.45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34" t="s">
        <v>47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34" t="s">
        <v>48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34" t="s">
        <v>49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55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34" t="s">
        <v>50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34" t="s">
        <v>4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34" t="s">
        <v>51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25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34" t="s">
        <v>53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22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34" t="s">
        <v>54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24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34" t="s">
        <v>52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21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34" t="s">
        <v>55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13.5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34" t="s">
        <v>56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18.9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34" t="s">
        <v>5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34" t="s">
        <v>57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34" t="s">
        <v>58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34" t="s">
        <v>113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9.09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34" t="s">
        <v>114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7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34" t="s">
        <v>115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3.5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34" t="s">
        <v>116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7.778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34" t="s">
        <v>117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34" t="s">
        <v>118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11.25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34" t="s">
        <v>119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10.71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34" t="s">
        <v>120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20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34" t="s">
        <v>121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10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34" t="s">
        <v>122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10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6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2" sqref="G2:G36"/>
    </sheetView>
  </sheetViews>
  <sheetFormatPr defaultColWidth="11.421875" defaultRowHeight="12.75"/>
  <cols>
    <col min="1" max="1" width="19.28125" style="93" customWidth="1"/>
    <col min="2" max="2" width="6.003906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6.8515625" style="93" bestFit="1" customWidth="1"/>
    <col min="13" max="13" width="6.00390625" style="93" bestFit="1" customWidth="1"/>
    <col min="14" max="14" width="14.28125" style="93" bestFit="1" customWidth="1"/>
    <col min="15" max="22" width="13.57421875" style="93" bestFit="1" customWidth="1"/>
    <col min="23" max="23" width="12.7109375" style="93" customWidth="1"/>
    <col min="24" max="16384" width="11.421875" style="93" customWidth="1"/>
  </cols>
  <sheetData>
    <row r="1" spans="1:23" ht="27">
      <c r="A1" s="1" t="s">
        <v>16</v>
      </c>
      <c r="B1" s="91" t="s">
        <v>96</v>
      </c>
      <c r="C1" s="2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92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34" t="s">
        <v>0</v>
      </c>
      <c r="B2" s="30">
        <v>28</v>
      </c>
      <c r="C2" s="30">
        <v>1000</v>
      </c>
      <c r="D2" s="47">
        <f>C2/Hauptstelle!$E$50*100</f>
        <v>0.09645201271237527</v>
      </c>
      <c r="E2" s="30">
        <v>3000</v>
      </c>
      <c r="F2" s="47">
        <f>E2/Hauptstelle!$E$50*100</f>
        <v>0.28935603813712585</v>
      </c>
      <c r="G2" s="19">
        <v>16.84</v>
      </c>
      <c r="H2" s="20">
        <f aca="true" t="shared" si="0" ref="H2:H36">E2/C2</f>
        <v>3</v>
      </c>
      <c r="I2" s="21">
        <f aca="true" t="shared" si="1" ref="I2:I37">((365-(H2*B2))*100)/365</f>
        <v>76.98630136986301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1000</v>
      </c>
      <c r="M2" s="25">
        <f aca="true" t="shared" si="3" ref="M2:M36">L2-C2</f>
        <v>0</v>
      </c>
      <c r="N2" s="26">
        <f>ROUND(V2*Hauptstelle!$J$54,Hauptstelle!W51)</f>
        <v>400</v>
      </c>
      <c r="O2" s="27">
        <f aca="true" t="shared" si="4" ref="O2:O36">E2/K2</f>
        <v>1120.7970112079702</v>
      </c>
      <c r="P2" s="24">
        <f aca="true" t="shared" si="5" ref="P2:P36">IF(M2&lt;0,0,M2)</f>
        <v>0</v>
      </c>
      <c r="Q2" s="24">
        <f>(P2*(1/Hauptstelle!$J$52))+((L2/100)*Hauptstelle!$J$53)</f>
        <v>50</v>
      </c>
      <c r="R2" s="28">
        <f aca="true" t="shared" si="6" ref="R2:R36">Q2*G2</f>
        <v>842</v>
      </c>
      <c r="S2" s="29">
        <f>R2/Hauptstelle!$R$47</f>
        <v>0.00388518761365638</v>
      </c>
      <c r="T2" s="28">
        <f aca="true" t="shared" si="7" ref="T2:T36">E2*G2</f>
        <v>50520</v>
      </c>
      <c r="U2" s="29">
        <f>T2/Hauptstelle!$T$47</f>
        <v>0.003881362133223316</v>
      </c>
      <c r="V2" s="29">
        <f aca="true" t="shared" si="8" ref="V2:V36">(S2+U2)/2</f>
        <v>0.003883274873439848</v>
      </c>
      <c r="W2" s="16">
        <f aca="true" t="shared" si="9" ref="W2:W36">B2*E2</f>
        <v>84000</v>
      </c>
    </row>
    <row r="3" spans="1:23" ht="9">
      <c r="A3" s="134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14.9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34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11.21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34" t="s">
        <v>112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13.61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34" t="s">
        <v>3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34" t="s">
        <v>41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19.4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34" t="s">
        <v>42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25.8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34" t="s">
        <v>43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13.5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34" t="s">
        <v>44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13.95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34" t="s">
        <v>45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25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34" t="s">
        <v>46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9.45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34" t="s">
        <v>47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34" t="s">
        <v>48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34" t="s">
        <v>49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55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34" t="s">
        <v>50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34" t="s">
        <v>4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34" t="s">
        <v>51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25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34" t="s">
        <v>53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22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34" t="s">
        <v>54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24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34" t="s">
        <v>52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21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34" t="s">
        <v>55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13.5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34" t="s">
        <v>56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18.9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34" t="s">
        <v>5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34" t="s">
        <v>57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34" t="s">
        <v>58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34" t="s">
        <v>113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9.09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34" t="s">
        <v>114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7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34" t="s">
        <v>115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3.5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34" t="s">
        <v>116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7.778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34" t="s">
        <v>117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34" t="s">
        <v>118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11.25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34" t="s">
        <v>119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10.71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34" t="s">
        <v>120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20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34" t="s">
        <v>121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10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34" t="s">
        <v>122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10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6</v>
      </c>
      <c r="B37" s="32">
        <f>IF(E37=0,SUM(B2:B36)/35,W37/E37)</f>
        <v>28</v>
      </c>
      <c r="C37" s="32">
        <f>SUM(C2:C36)</f>
        <v>1000</v>
      </c>
      <c r="D37" s="32"/>
      <c r="E37" s="32">
        <f>SUM(E2:E36)</f>
        <v>3000</v>
      </c>
      <c r="F37" s="32"/>
      <c r="G37" s="94"/>
      <c r="H37" s="34">
        <f>E37/C37</f>
        <v>3</v>
      </c>
      <c r="I37" s="95">
        <f t="shared" si="1"/>
        <v>76.98630136986301</v>
      </c>
      <c r="J37" s="96"/>
      <c r="K37" s="96"/>
      <c r="L37" s="32">
        <f>SUM(L2:L36)</f>
        <v>1000</v>
      </c>
      <c r="M37" s="97"/>
      <c r="N37" s="38">
        <f>SUM(N2:N36)</f>
        <v>400</v>
      </c>
      <c r="O37" s="39">
        <f>SUM(O2:O36)</f>
        <v>1120.7970112079702</v>
      </c>
      <c r="P37" s="40"/>
      <c r="Q37" s="41">
        <f>SUM(P2:P36)</f>
        <v>0</v>
      </c>
      <c r="R37" s="42">
        <f>SUM(R2:R36)</f>
        <v>842</v>
      </c>
      <c r="S37" s="43"/>
      <c r="T37" s="42">
        <f>SUM(T2:T36)</f>
        <v>50520</v>
      </c>
      <c r="U37" s="43"/>
      <c r="V37" s="43"/>
      <c r="W37" s="16">
        <f>SUM(W2:W36)</f>
        <v>84000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="130" zoomScaleNormal="130" zoomScalePageLayoutView="0" workbookViewId="0" topLeftCell="A1">
      <selection activeCell="G25" sqref="G25"/>
    </sheetView>
  </sheetViews>
  <sheetFormatPr defaultColWidth="11.421875" defaultRowHeight="12.75"/>
  <cols>
    <col min="1" max="1" width="12.57421875" style="16" customWidth="1"/>
    <col min="2" max="2" width="6.28125" style="16" customWidth="1"/>
    <col min="3" max="3" width="6.7109375" style="16" customWidth="1"/>
    <col min="4" max="4" width="11.140625" style="16" customWidth="1"/>
    <col min="5" max="5" width="7.8515625" style="16" customWidth="1"/>
    <col min="6" max="6" width="9.7109375" style="46" customWidth="1"/>
    <col min="7" max="7" width="7.140625" style="16" bestFit="1" customWidth="1"/>
    <col min="8" max="8" width="6.140625" style="129" bestFit="1" customWidth="1"/>
    <col min="9" max="9" width="12.28125" style="46" bestFit="1" customWidth="1"/>
    <col min="10" max="10" width="12.28125" style="93" bestFit="1" customWidth="1"/>
    <col min="11" max="11" width="6.140625" style="93" bestFit="1" customWidth="1"/>
    <col min="12" max="12" width="6.7109375" style="16" bestFit="1" customWidth="1"/>
    <col min="13" max="13" width="5.8515625" style="16" bestFit="1" customWidth="1"/>
    <col min="14" max="14" width="14.28125" style="16" bestFit="1" customWidth="1"/>
    <col min="15" max="17" width="13.57421875" style="16" bestFit="1" customWidth="1"/>
    <col min="18" max="18" width="13.57421875" style="47" bestFit="1" customWidth="1"/>
    <col min="19" max="19" width="13.57421875" style="128" bestFit="1" customWidth="1"/>
    <col min="20" max="20" width="13.57421875" style="47" bestFit="1" customWidth="1"/>
    <col min="21" max="22" width="13.57421875" style="128" bestFit="1" customWidth="1"/>
    <col min="23" max="23" width="13.00390625" style="108" customWidth="1"/>
    <col min="24" max="16384" width="11.421875" style="16" customWidth="1"/>
  </cols>
  <sheetData>
    <row r="1" spans="1:22" ht="9">
      <c r="A1" s="102" t="s">
        <v>111</v>
      </c>
      <c r="C1" s="58"/>
      <c r="D1" s="58"/>
      <c r="E1" s="58"/>
      <c r="F1" s="103"/>
      <c r="G1" s="58"/>
      <c r="H1" s="104" t="s">
        <v>64</v>
      </c>
      <c r="I1" s="105" t="s">
        <v>64</v>
      </c>
      <c r="J1" s="106" t="s">
        <v>65</v>
      </c>
      <c r="K1" s="106" t="s">
        <v>65</v>
      </c>
      <c r="L1" s="58" t="s">
        <v>65</v>
      </c>
      <c r="M1" s="58"/>
      <c r="N1" s="58"/>
      <c r="O1" s="17"/>
      <c r="P1" s="17"/>
      <c r="Q1" s="17"/>
      <c r="R1" s="18"/>
      <c r="S1" s="107"/>
      <c r="T1" s="18"/>
      <c r="U1" s="107"/>
      <c r="V1" s="107"/>
    </row>
    <row r="2" spans="1:23" ht="9">
      <c r="A2" s="58" t="s">
        <v>104</v>
      </c>
      <c r="B2" s="58" t="s">
        <v>96</v>
      </c>
      <c r="C2" s="58" t="s">
        <v>39</v>
      </c>
      <c r="D2" s="58" t="s">
        <v>61</v>
      </c>
      <c r="E2" s="58" t="s">
        <v>7</v>
      </c>
      <c r="F2" s="58" t="s">
        <v>62</v>
      </c>
      <c r="G2" s="109" t="s">
        <v>66</v>
      </c>
      <c r="H2" s="110" t="s">
        <v>59</v>
      </c>
      <c r="I2" s="103" t="s">
        <v>60</v>
      </c>
      <c r="J2" s="103" t="s">
        <v>60</v>
      </c>
      <c r="K2" s="103" t="s">
        <v>59</v>
      </c>
      <c r="L2" s="111" t="s">
        <v>39</v>
      </c>
      <c r="M2" s="9" t="s">
        <v>123</v>
      </c>
      <c r="N2" s="63" t="s">
        <v>76</v>
      </c>
      <c r="O2" s="24" t="s">
        <v>68</v>
      </c>
      <c r="P2" s="24" t="s">
        <v>69</v>
      </c>
      <c r="Q2" s="24" t="s">
        <v>70</v>
      </c>
      <c r="R2" s="113" t="s">
        <v>71</v>
      </c>
      <c r="S2" s="114" t="s">
        <v>72</v>
      </c>
      <c r="T2" s="113" t="s">
        <v>73</v>
      </c>
      <c r="U2" s="114" t="s">
        <v>74</v>
      </c>
      <c r="V2" s="114" t="s">
        <v>75</v>
      </c>
      <c r="W2" s="115" t="s">
        <v>97</v>
      </c>
    </row>
    <row r="3" spans="1:23" ht="9">
      <c r="A3" s="135" t="s">
        <v>17</v>
      </c>
      <c r="B3" s="116">
        <v>28</v>
      </c>
      <c r="C3" s="116">
        <v>457</v>
      </c>
      <c r="D3" s="117">
        <f aca="true" t="shared" si="0" ref="D3:D24">C3/$C$25*100</f>
        <v>0.8728536776362282</v>
      </c>
      <c r="E3" s="116">
        <v>626</v>
      </c>
      <c r="F3" s="117">
        <f aca="true" t="shared" si="1" ref="F3:F24">E3/$E$25*100</f>
        <v>0.40708298380121866</v>
      </c>
      <c r="G3" s="118">
        <v>18.65</v>
      </c>
      <c r="H3" s="59">
        <f aca="true" t="shared" si="2" ref="H3:H24">E3/C3</f>
        <v>1.3698030634573304</v>
      </c>
      <c r="I3" s="61">
        <f aca="true" t="shared" si="3" ref="I3:I25">((365-(H3*B3))*100)/365</f>
        <v>89.49192170498486</v>
      </c>
      <c r="J3" s="133">
        <v>79</v>
      </c>
      <c r="K3" s="119">
        <f aca="true" t="shared" si="4" ref="K3:K24">((100-J3)*365)/(100*B3)</f>
        <v>2.7375</v>
      </c>
      <c r="L3" s="111">
        <f aca="true" t="shared" si="5" ref="L3:L24">(O3/$O$25)*$C$25</f>
        <v>308.17904777520766</v>
      </c>
      <c r="M3" s="112">
        <f aca="true" t="shared" si="6" ref="M3:M24">L3-C3</f>
        <v>-148.82095222479234</v>
      </c>
      <c r="N3" s="63">
        <f>ROUND(V3*Hauptstelle!$N$2,Hauptstelle!W51)</f>
        <v>100</v>
      </c>
      <c r="O3" s="24">
        <f aca="true" t="shared" si="7" ref="O3:O24">E3/K3</f>
        <v>228.67579908675802</v>
      </c>
      <c r="P3" s="24">
        <f aca="true" t="shared" si="8" ref="P3:P24">IF(M3&lt;0,0,M3)</f>
        <v>0</v>
      </c>
      <c r="Q3" s="24">
        <f>(P3*(1/Hauptstelle!$J$52))+((L3/100)*Hauptstelle!$J$53)</f>
        <v>15.408952388760383</v>
      </c>
      <c r="R3" s="28">
        <f aca="true" t="shared" si="9" ref="R3:R24">Q3*G3</f>
        <v>287.3769620503811</v>
      </c>
      <c r="S3" s="29">
        <f aca="true" t="shared" si="10" ref="S3:S24">R3/$R$25</f>
        <v>0.0041476399451792385</v>
      </c>
      <c r="T3" s="28">
        <f aca="true" t="shared" si="11" ref="T3:T24">E3*G3</f>
        <v>11674.9</v>
      </c>
      <c r="U3" s="29">
        <f aca="true" t="shared" si="12" ref="U3:U24">T3/$T$25</f>
        <v>0.004062576235939969</v>
      </c>
      <c r="V3" s="29">
        <f aca="true" t="shared" si="13" ref="V3:V24">(S3+U3)/2</f>
        <v>0.004105108090559604</v>
      </c>
      <c r="W3" s="108">
        <f aca="true" t="shared" si="14" ref="W3:W24">B3*E3</f>
        <v>17528</v>
      </c>
    </row>
    <row r="4" spans="1:23" ht="9">
      <c r="A4" s="135" t="s">
        <v>18</v>
      </c>
      <c r="B4" s="116">
        <v>28</v>
      </c>
      <c r="C4" s="116">
        <v>345</v>
      </c>
      <c r="D4" s="117">
        <f t="shared" si="0"/>
        <v>0.6589376778654239</v>
      </c>
      <c r="E4" s="116">
        <v>1167</v>
      </c>
      <c r="F4" s="117">
        <f t="shared" si="1"/>
        <v>0.7588911215591408</v>
      </c>
      <c r="G4" s="118">
        <v>17.92</v>
      </c>
      <c r="H4" s="59">
        <f t="shared" si="2"/>
        <v>3.382608695652174</v>
      </c>
      <c r="I4" s="61">
        <f t="shared" si="3"/>
        <v>74.05122096486004</v>
      </c>
      <c r="J4" s="133">
        <v>56</v>
      </c>
      <c r="K4" s="119">
        <f t="shared" si="4"/>
        <v>5.735714285714286</v>
      </c>
      <c r="L4" s="111">
        <f t="shared" si="5"/>
        <v>274.19924207911026</v>
      </c>
      <c r="M4" s="112">
        <f t="shared" si="6"/>
        <v>-70.80075792088974</v>
      </c>
      <c r="N4" s="63">
        <f>ROUND(V4*Hauptstelle!$N$2,Hauptstelle!W51)</f>
        <v>100</v>
      </c>
      <c r="O4" s="24">
        <f t="shared" si="7"/>
        <v>203.46201743462018</v>
      </c>
      <c r="P4" s="24">
        <f t="shared" si="8"/>
        <v>0</v>
      </c>
      <c r="Q4" s="24">
        <f>(P4*(1/Hauptstelle!$J$52))+((L4/100)*Hauptstelle!$J$53)</f>
        <v>13.709962103955514</v>
      </c>
      <c r="R4" s="28">
        <f t="shared" si="9"/>
        <v>245.68252090288283</v>
      </c>
      <c r="S4" s="29">
        <f t="shared" si="10"/>
        <v>0.0035458744857581347</v>
      </c>
      <c r="T4" s="28">
        <f t="shared" si="11"/>
        <v>20912.640000000003</v>
      </c>
      <c r="U4" s="29">
        <f t="shared" si="12"/>
        <v>0.007277081113736961</v>
      </c>
      <c r="V4" s="29">
        <f t="shared" si="13"/>
        <v>0.005411477799747548</v>
      </c>
      <c r="W4" s="108">
        <f t="shared" si="14"/>
        <v>32676</v>
      </c>
    </row>
    <row r="5" spans="1:23" ht="9">
      <c r="A5" s="135" t="s">
        <v>19</v>
      </c>
      <c r="B5" s="116">
        <v>28</v>
      </c>
      <c r="C5" s="116">
        <v>3578</v>
      </c>
      <c r="D5" s="117">
        <f t="shared" si="0"/>
        <v>6.833852206963729</v>
      </c>
      <c r="E5" s="116">
        <v>20805</v>
      </c>
      <c r="F5" s="117">
        <f t="shared" si="1"/>
        <v>13.529331434479799</v>
      </c>
      <c r="G5" s="118">
        <v>17.92</v>
      </c>
      <c r="H5" s="59">
        <f t="shared" si="2"/>
        <v>5.814700950251537</v>
      </c>
      <c r="I5" s="61">
        <f t="shared" si="3"/>
        <v>55.39407490217999</v>
      </c>
      <c r="J5" s="133">
        <v>69</v>
      </c>
      <c r="K5" s="119">
        <f t="shared" si="4"/>
        <v>4.041071428571429</v>
      </c>
      <c r="L5" s="111">
        <f t="shared" si="5"/>
        <v>6938.316338669848</v>
      </c>
      <c r="M5" s="112">
        <f t="shared" si="6"/>
        <v>3360.316338669848</v>
      </c>
      <c r="N5" s="63">
        <f>ROUND(V5*Hauptstelle!$N$2,Hauptstelle!W51)</f>
        <v>4000</v>
      </c>
      <c r="O5" s="24">
        <f t="shared" si="7"/>
        <v>5148.387096774193</v>
      </c>
      <c r="P5" s="24">
        <f t="shared" si="8"/>
        <v>3360.316338669848</v>
      </c>
      <c r="Q5" s="24">
        <f>(P5*(1/Hauptstelle!$J$52))+((L5/100)*Hauptstelle!$J$53)</f>
        <v>682.9474508004772</v>
      </c>
      <c r="R5" s="28">
        <f t="shared" si="9"/>
        <v>12238.418318344553</v>
      </c>
      <c r="S5" s="29">
        <f t="shared" si="10"/>
        <v>0.17663403607864772</v>
      </c>
      <c r="T5" s="28">
        <f t="shared" si="11"/>
        <v>372825.60000000003</v>
      </c>
      <c r="U5" s="29">
        <f t="shared" si="12"/>
        <v>0.12973408103795842</v>
      </c>
      <c r="V5" s="29">
        <f t="shared" si="13"/>
        <v>0.15318405855830308</v>
      </c>
      <c r="W5" s="108">
        <f t="shared" si="14"/>
        <v>582540</v>
      </c>
    </row>
    <row r="6" spans="1:23" ht="9">
      <c r="A6" s="135" t="s">
        <v>20</v>
      </c>
      <c r="B6" s="116">
        <v>28</v>
      </c>
      <c r="C6" s="116">
        <v>1674</v>
      </c>
      <c r="D6" s="117">
        <f t="shared" si="0"/>
        <v>3.1972802108600566</v>
      </c>
      <c r="E6" s="116">
        <v>1987</v>
      </c>
      <c r="F6" s="117">
        <f t="shared" si="1"/>
        <v>1.2921308128003537</v>
      </c>
      <c r="G6" s="118">
        <v>20.66</v>
      </c>
      <c r="H6" s="59">
        <f t="shared" si="2"/>
        <v>1.1869772998805257</v>
      </c>
      <c r="I6" s="61">
        <f t="shared" si="3"/>
        <v>90.89442071324527</v>
      </c>
      <c r="J6" s="133">
        <v>65</v>
      </c>
      <c r="K6" s="119">
        <f t="shared" si="4"/>
        <v>4.5625</v>
      </c>
      <c r="L6" s="111">
        <f t="shared" si="5"/>
        <v>586.9186274083107</v>
      </c>
      <c r="M6" s="112">
        <f t="shared" si="6"/>
        <v>-1087.0813725916892</v>
      </c>
      <c r="N6" s="63">
        <f>ROUND(V6*Hauptstelle!$N$2,Hauptstelle!W51)</f>
        <v>300</v>
      </c>
      <c r="O6" s="24">
        <f t="shared" si="7"/>
        <v>435.5068493150685</v>
      </c>
      <c r="P6" s="24">
        <f t="shared" si="8"/>
        <v>0</v>
      </c>
      <c r="Q6" s="24">
        <f>(P6*(1/Hauptstelle!$J$52))+((L6/100)*Hauptstelle!$J$53)</f>
        <v>29.345931370415535</v>
      </c>
      <c r="R6" s="28">
        <f t="shared" si="9"/>
        <v>606.2869421127849</v>
      </c>
      <c r="S6" s="29">
        <f t="shared" si="10"/>
        <v>0.008750388066621378</v>
      </c>
      <c r="T6" s="28">
        <f t="shared" si="11"/>
        <v>41051.42</v>
      </c>
      <c r="U6" s="29">
        <f t="shared" si="12"/>
        <v>0.014284878101190652</v>
      </c>
      <c r="V6" s="29">
        <f t="shared" si="13"/>
        <v>0.011517633083906015</v>
      </c>
      <c r="W6" s="108">
        <f t="shared" si="14"/>
        <v>55636</v>
      </c>
    </row>
    <row r="7" spans="1:23" ht="9">
      <c r="A7" s="135" t="s">
        <v>21</v>
      </c>
      <c r="B7" s="116">
        <v>28</v>
      </c>
      <c r="C7" s="116">
        <v>3145</v>
      </c>
      <c r="D7" s="117">
        <f t="shared" si="0"/>
        <v>6.006837672135531</v>
      </c>
      <c r="E7" s="116">
        <v>7182</v>
      </c>
      <c r="F7" s="117">
        <f t="shared" si="1"/>
        <v>4.670399344505355</v>
      </c>
      <c r="G7" s="118">
        <v>19.89</v>
      </c>
      <c r="H7" s="59">
        <f t="shared" si="2"/>
        <v>2.28362480127186</v>
      </c>
      <c r="I7" s="61">
        <f t="shared" si="3"/>
        <v>82.48178234640766</v>
      </c>
      <c r="J7" s="133">
        <v>68</v>
      </c>
      <c r="K7" s="119">
        <f t="shared" si="4"/>
        <v>4.171428571428572</v>
      </c>
      <c r="L7" s="111">
        <f t="shared" si="5"/>
        <v>2320.296542709283</v>
      </c>
      <c r="M7" s="112">
        <f t="shared" si="6"/>
        <v>-824.7034572907169</v>
      </c>
      <c r="N7" s="63">
        <f>ROUND(V7*Hauptstelle!$N$2,Hauptstelle!W51)</f>
        <v>1100</v>
      </c>
      <c r="O7" s="24">
        <f t="shared" si="7"/>
        <v>1721.7123287671232</v>
      </c>
      <c r="P7" s="24">
        <f t="shared" si="8"/>
        <v>0</v>
      </c>
      <c r="Q7" s="24">
        <f>(P7*(1/Hauptstelle!$J$52))+((L7/100)*Hauptstelle!$J$53)</f>
        <v>116.01482713546416</v>
      </c>
      <c r="R7" s="28">
        <f t="shared" si="9"/>
        <v>2307.5349117243823</v>
      </c>
      <c r="S7" s="29">
        <f t="shared" si="10"/>
        <v>0.033304075269213126</v>
      </c>
      <c r="T7" s="28">
        <f t="shared" si="11"/>
        <v>142849.98</v>
      </c>
      <c r="U7" s="29">
        <f t="shared" si="12"/>
        <v>0.04970825737715097</v>
      </c>
      <c r="V7" s="29">
        <f t="shared" si="13"/>
        <v>0.04150616632318205</v>
      </c>
      <c r="W7" s="108">
        <f t="shared" si="14"/>
        <v>201096</v>
      </c>
    </row>
    <row r="8" spans="1:23" ht="9">
      <c r="A8" s="135" t="s">
        <v>22</v>
      </c>
      <c r="B8" s="116">
        <v>28</v>
      </c>
      <c r="C8" s="116">
        <v>1857</v>
      </c>
      <c r="D8" s="117">
        <f t="shared" si="0"/>
        <v>3.5468036747712817</v>
      </c>
      <c r="E8" s="116">
        <v>4587</v>
      </c>
      <c r="F8" s="117">
        <f t="shared" si="1"/>
        <v>2.982890809418834</v>
      </c>
      <c r="G8" s="118">
        <v>15.13</v>
      </c>
      <c r="H8" s="59">
        <f t="shared" si="2"/>
        <v>2.470113085621971</v>
      </c>
      <c r="I8" s="61">
        <f t="shared" si="3"/>
        <v>81.0511872883794</v>
      </c>
      <c r="J8" s="133">
        <v>74</v>
      </c>
      <c r="K8" s="119">
        <f t="shared" si="4"/>
        <v>3.3892857142857142</v>
      </c>
      <c r="L8" s="111">
        <f t="shared" si="5"/>
        <v>1823.9102442272317</v>
      </c>
      <c r="M8" s="112">
        <f t="shared" si="6"/>
        <v>-33.089755772768285</v>
      </c>
      <c r="N8" s="63">
        <f>ROUND(V8*Hauptstelle!$N$2,Hauptstelle!W51)</f>
        <v>600</v>
      </c>
      <c r="O8" s="24">
        <f t="shared" si="7"/>
        <v>1353.382507903056</v>
      </c>
      <c r="P8" s="24">
        <f t="shared" si="8"/>
        <v>0</v>
      </c>
      <c r="Q8" s="24">
        <f>(P8*(1/Hauptstelle!$J$52))+((L8/100)*Hauptstelle!$J$53)</f>
        <v>91.19551221136157</v>
      </c>
      <c r="R8" s="28">
        <f t="shared" si="9"/>
        <v>1379.7880997579007</v>
      </c>
      <c r="S8" s="29">
        <f t="shared" si="10"/>
        <v>0.01991413715841122</v>
      </c>
      <c r="T8" s="28">
        <f t="shared" si="11"/>
        <v>69401.31</v>
      </c>
      <c r="U8" s="29">
        <f t="shared" si="12"/>
        <v>0.02414993813643825</v>
      </c>
      <c r="V8" s="29">
        <f t="shared" si="13"/>
        <v>0.022032037647424736</v>
      </c>
      <c r="W8" s="108">
        <f t="shared" si="14"/>
        <v>128436</v>
      </c>
    </row>
    <row r="9" spans="1:23" ht="9">
      <c r="A9" s="135" t="s">
        <v>23</v>
      </c>
      <c r="B9" s="116">
        <v>28</v>
      </c>
      <c r="C9" s="116">
        <v>1567</v>
      </c>
      <c r="D9" s="117">
        <f t="shared" si="0"/>
        <v>2.992914032507592</v>
      </c>
      <c r="E9" s="116">
        <v>3345</v>
      </c>
      <c r="F9" s="117">
        <f t="shared" si="1"/>
        <v>2.1752277648803138</v>
      </c>
      <c r="G9" s="118">
        <v>17.88</v>
      </c>
      <c r="H9" s="59">
        <f t="shared" si="2"/>
        <v>2.1346522016592213</v>
      </c>
      <c r="I9" s="61">
        <f t="shared" si="3"/>
        <v>83.62458585028543</v>
      </c>
      <c r="J9" s="133">
        <v>64</v>
      </c>
      <c r="K9" s="119">
        <f t="shared" si="4"/>
        <v>4.692857142857143</v>
      </c>
      <c r="L9" s="111">
        <f t="shared" si="5"/>
        <v>960.598030305709</v>
      </c>
      <c r="M9" s="112">
        <f t="shared" si="6"/>
        <v>-606.401969694291</v>
      </c>
      <c r="N9" s="63">
        <f>ROUND(V9*Hauptstelle!$N$2,Hauptstelle!W51)</f>
        <v>400</v>
      </c>
      <c r="O9" s="24">
        <f t="shared" si="7"/>
        <v>712.7853881278538</v>
      </c>
      <c r="P9" s="24">
        <f t="shared" si="8"/>
        <v>0</v>
      </c>
      <c r="Q9" s="24">
        <f>(P9*(1/Hauptstelle!$J$52))+((L9/100)*Hauptstelle!$J$53)</f>
        <v>48.029901515285445</v>
      </c>
      <c r="R9" s="28">
        <f t="shared" si="9"/>
        <v>858.7746390933037</v>
      </c>
      <c r="S9" s="29">
        <f t="shared" si="10"/>
        <v>0.012394479959690795</v>
      </c>
      <c r="T9" s="28">
        <f t="shared" si="11"/>
        <v>59808.6</v>
      </c>
      <c r="U9" s="29">
        <f t="shared" si="12"/>
        <v>0.02081191248446147</v>
      </c>
      <c r="V9" s="29">
        <f t="shared" si="13"/>
        <v>0.016603196222076132</v>
      </c>
      <c r="W9" s="108">
        <f t="shared" si="14"/>
        <v>93660</v>
      </c>
    </row>
    <row r="10" spans="1:23" ht="9">
      <c r="A10" s="135" t="s">
        <v>24</v>
      </c>
      <c r="B10" s="116">
        <v>28</v>
      </c>
      <c r="C10" s="116">
        <v>2681</v>
      </c>
      <c r="D10" s="117">
        <f t="shared" si="0"/>
        <v>5.120614244513628</v>
      </c>
      <c r="E10" s="116">
        <v>5680</v>
      </c>
      <c r="F10" s="117">
        <f t="shared" si="1"/>
        <v>3.693660300304987</v>
      </c>
      <c r="G10" s="118">
        <v>18.39</v>
      </c>
      <c r="H10" s="59">
        <f t="shared" si="2"/>
        <v>2.1186124580380454</v>
      </c>
      <c r="I10" s="61">
        <f t="shared" si="3"/>
        <v>83.74763045888622</v>
      </c>
      <c r="J10" s="133">
        <v>76</v>
      </c>
      <c r="K10" s="119">
        <f t="shared" si="4"/>
        <v>3.1285714285714286</v>
      </c>
      <c r="L10" s="111">
        <f t="shared" si="5"/>
        <v>2446.725027863869</v>
      </c>
      <c r="M10" s="112">
        <f t="shared" si="6"/>
        <v>-234.27497213613105</v>
      </c>
      <c r="N10" s="63">
        <f>ROUND(V10*Hauptstelle!$N$2,Hauptstelle!W51)</f>
        <v>900</v>
      </c>
      <c r="O10" s="24">
        <f t="shared" si="7"/>
        <v>1815.5251141552512</v>
      </c>
      <c r="P10" s="24">
        <f t="shared" si="8"/>
        <v>0</v>
      </c>
      <c r="Q10" s="24">
        <f>(P10*(1/Hauptstelle!$J$52))+((L10/100)*Hauptstelle!$J$53)</f>
        <v>122.33625139319345</v>
      </c>
      <c r="R10" s="28">
        <f t="shared" si="9"/>
        <v>2249.7636631208275</v>
      </c>
      <c r="S10" s="29">
        <f t="shared" si="10"/>
        <v>0.032470277261601864</v>
      </c>
      <c r="T10" s="28">
        <f t="shared" si="11"/>
        <v>104455.2</v>
      </c>
      <c r="U10" s="29">
        <f t="shared" si="12"/>
        <v>0.03634782424177994</v>
      </c>
      <c r="V10" s="29">
        <f t="shared" si="13"/>
        <v>0.0344090507516909</v>
      </c>
      <c r="W10" s="108">
        <f t="shared" si="14"/>
        <v>159040</v>
      </c>
    </row>
    <row r="11" spans="1:23" ht="9">
      <c r="A11" s="135" t="s">
        <v>25</v>
      </c>
      <c r="B11" s="116">
        <v>28</v>
      </c>
      <c r="C11" s="116">
        <v>1056</v>
      </c>
      <c r="D11" s="117">
        <f t="shared" si="0"/>
        <v>2.016922283553298</v>
      </c>
      <c r="E11" s="116">
        <v>2445</v>
      </c>
      <c r="F11" s="117">
        <f t="shared" si="1"/>
        <v>1.5899646891277628</v>
      </c>
      <c r="G11" s="118">
        <v>18.86</v>
      </c>
      <c r="H11" s="59">
        <f t="shared" si="2"/>
        <v>2.315340909090909</v>
      </c>
      <c r="I11" s="61">
        <f t="shared" si="3"/>
        <v>82.23848069738482</v>
      </c>
      <c r="J11" s="133">
        <v>60</v>
      </c>
      <c r="K11" s="119">
        <f t="shared" si="4"/>
        <v>5.214285714285714</v>
      </c>
      <c r="L11" s="111">
        <f t="shared" si="5"/>
        <v>631.9270450486435</v>
      </c>
      <c r="M11" s="112">
        <f t="shared" si="6"/>
        <v>-424.07295495135645</v>
      </c>
      <c r="N11" s="63">
        <f>ROUND(V11*Hauptstelle!$N$2,Hauptstelle!W51)</f>
        <v>300</v>
      </c>
      <c r="O11" s="24">
        <f t="shared" si="7"/>
        <v>468.90410958904107</v>
      </c>
      <c r="P11" s="24">
        <f t="shared" si="8"/>
        <v>0</v>
      </c>
      <c r="Q11" s="24">
        <f>(P11*(1/Hauptstelle!$J$52))+((L11/100)*Hauptstelle!$J$53)</f>
        <v>31.596352252432176</v>
      </c>
      <c r="R11" s="28">
        <f t="shared" si="9"/>
        <v>595.9072034808709</v>
      </c>
      <c r="S11" s="29">
        <f t="shared" si="10"/>
        <v>0.008600579890408912</v>
      </c>
      <c r="T11" s="28">
        <f t="shared" si="11"/>
        <v>46112.7</v>
      </c>
      <c r="U11" s="29">
        <f t="shared" si="12"/>
        <v>0.016046078270051906</v>
      </c>
      <c r="V11" s="29">
        <f t="shared" si="13"/>
        <v>0.01232332908023041</v>
      </c>
      <c r="W11" s="108">
        <f t="shared" si="14"/>
        <v>68460</v>
      </c>
    </row>
    <row r="12" spans="1:23" ht="9">
      <c r="A12" s="135" t="s">
        <v>26</v>
      </c>
      <c r="B12" s="116">
        <v>28</v>
      </c>
      <c r="C12" s="116">
        <v>634</v>
      </c>
      <c r="D12" s="117">
        <f t="shared" si="0"/>
        <v>1.2109173558454458</v>
      </c>
      <c r="E12" s="116">
        <v>1049</v>
      </c>
      <c r="F12" s="117">
        <f t="shared" si="1"/>
        <v>0.6821566294049175</v>
      </c>
      <c r="G12" s="118">
        <v>15.12</v>
      </c>
      <c r="H12" s="59">
        <f t="shared" si="2"/>
        <v>1.6545741324921135</v>
      </c>
      <c r="I12" s="61">
        <f t="shared" si="3"/>
        <v>87.30737651786872</v>
      </c>
      <c r="J12" s="133">
        <v>57</v>
      </c>
      <c r="K12" s="119">
        <f t="shared" si="4"/>
        <v>5.605357142857143</v>
      </c>
      <c r="L12" s="111">
        <f t="shared" si="5"/>
        <v>252.20581928226645</v>
      </c>
      <c r="M12" s="112">
        <f t="shared" si="6"/>
        <v>-381.7941807177335</v>
      </c>
      <c r="N12" s="63">
        <f>ROUND(V12*Hauptstelle!$N$2,Hauptstelle!W51)</f>
        <v>100</v>
      </c>
      <c r="O12" s="24">
        <f t="shared" si="7"/>
        <v>187.1424020388659</v>
      </c>
      <c r="P12" s="24">
        <f t="shared" si="8"/>
        <v>0</v>
      </c>
      <c r="Q12" s="24">
        <f>(P12*(1/Hauptstelle!$J$52))+((L12/100)*Hauptstelle!$J$53)</f>
        <v>12.610290964113322</v>
      </c>
      <c r="R12" s="28">
        <f t="shared" si="9"/>
        <v>190.6675993773934</v>
      </c>
      <c r="S12" s="29">
        <f t="shared" si="10"/>
        <v>0.002751857858704997</v>
      </c>
      <c r="T12" s="28">
        <f t="shared" si="11"/>
        <v>15860.88</v>
      </c>
      <c r="U12" s="29">
        <f t="shared" si="12"/>
        <v>0.005519193669247319</v>
      </c>
      <c r="V12" s="29">
        <f t="shared" si="13"/>
        <v>0.0041355257639761585</v>
      </c>
      <c r="W12" s="108">
        <f t="shared" si="14"/>
        <v>29372</v>
      </c>
    </row>
    <row r="13" spans="1:23" ht="9">
      <c r="A13" s="135" t="s">
        <v>27</v>
      </c>
      <c r="B13" s="116">
        <v>28</v>
      </c>
      <c r="C13" s="116">
        <v>2619</v>
      </c>
      <c r="D13" s="117">
        <f t="shared" si="0"/>
        <v>5.0021964589262184</v>
      </c>
      <c r="E13" s="116">
        <v>6750</v>
      </c>
      <c r="F13" s="117">
        <f t="shared" si="1"/>
        <v>4.389473068144131</v>
      </c>
      <c r="G13" s="118">
        <v>17.41</v>
      </c>
      <c r="H13" s="59">
        <f t="shared" si="2"/>
        <v>2.577319587628866</v>
      </c>
      <c r="I13" s="61">
        <f t="shared" si="3"/>
        <v>80.22878124558679</v>
      </c>
      <c r="J13" s="133">
        <v>73</v>
      </c>
      <c r="K13" s="119">
        <f t="shared" si="4"/>
        <v>3.5196428571428573</v>
      </c>
      <c r="L13" s="111">
        <f t="shared" si="5"/>
        <v>2584.568691405495</v>
      </c>
      <c r="M13" s="112">
        <f t="shared" si="6"/>
        <v>-34.431308594505026</v>
      </c>
      <c r="N13" s="63">
        <f>ROUND(V13*Hauptstelle!$N$2,Hauptstelle!W51)</f>
        <v>1000</v>
      </c>
      <c r="O13" s="24">
        <f t="shared" si="7"/>
        <v>1917.808219178082</v>
      </c>
      <c r="P13" s="24">
        <f t="shared" si="8"/>
        <v>0</v>
      </c>
      <c r="Q13" s="24">
        <f>(P13*(1/Hauptstelle!$J$52))+((L13/100)*Hauptstelle!$J$53)</f>
        <v>129.22843457027477</v>
      </c>
      <c r="R13" s="28">
        <f t="shared" si="9"/>
        <v>2249.8670458684837</v>
      </c>
      <c r="S13" s="29">
        <f t="shared" si="10"/>
        <v>0.03247176935898769</v>
      </c>
      <c r="T13" s="28">
        <f t="shared" si="11"/>
        <v>117517.5</v>
      </c>
      <c r="U13" s="29">
        <f t="shared" si="12"/>
        <v>0.04089318133834768</v>
      </c>
      <c r="V13" s="29">
        <f t="shared" si="13"/>
        <v>0.036682475348667684</v>
      </c>
      <c r="W13" s="108">
        <f t="shared" si="14"/>
        <v>189000</v>
      </c>
    </row>
    <row r="14" spans="1:23" ht="9">
      <c r="A14" s="135" t="s">
        <v>28</v>
      </c>
      <c r="B14" s="116">
        <v>28</v>
      </c>
      <c r="C14" s="116">
        <v>3758</v>
      </c>
      <c r="D14" s="117">
        <f t="shared" si="0"/>
        <v>7.177645778023951</v>
      </c>
      <c r="E14" s="116">
        <v>10850</v>
      </c>
      <c r="F14" s="117">
        <f t="shared" si="1"/>
        <v>7.055671524350196</v>
      </c>
      <c r="G14" s="118">
        <v>18.45</v>
      </c>
      <c r="H14" s="59">
        <f t="shared" si="2"/>
        <v>2.887174028738691</v>
      </c>
      <c r="I14" s="61">
        <f t="shared" si="3"/>
        <v>77.85181566994977</v>
      </c>
      <c r="J14" s="133">
        <v>69</v>
      </c>
      <c r="K14" s="119">
        <f t="shared" si="4"/>
        <v>4.041071428571429</v>
      </c>
      <c r="L14" s="111">
        <f t="shared" si="5"/>
        <v>3618.396167967693</v>
      </c>
      <c r="M14" s="112">
        <f t="shared" si="6"/>
        <v>-139.60383203230685</v>
      </c>
      <c r="N14" s="63">
        <f>ROUND(V14*Hauptstelle!$N$2,Hauptstelle!W51)</f>
        <v>1500</v>
      </c>
      <c r="O14" s="24">
        <f t="shared" si="7"/>
        <v>2684.931506849315</v>
      </c>
      <c r="P14" s="24">
        <f t="shared" si="8"/>
        <v>0</v>
      </c>
      <c r="Q14" s="24">
        <f>(P14*(1/Hauptstelle!$J$52))+((L14/100)*Hauptstelle!$J$53)</f>
        <v>180.91980839838467</v>
      </c>
      <c r="R14" s="28">
        <f t="shared" si="9"/>
        <v>3337.9704649501973</v>
      </c>
      <c r="S14" s="29">
        <f t="shared" si="10"/>
        <v>0.04817609434478185</v>
      </c>
      <c r="T14" s="28">
        <f t="shared" si="11"/>
        <v>200182.5</v>
      </c>
      <c r="U14" s="29">
        <f t="shared" si="12"/>
        <v>0.06965855530677374</v>
      </c>
      <c r="V14" s="29">
        <f t="shared" si="13"/>
        <v>0.0589173248257778</v>
      </c>
      <c r="W14" s="108">
        <f t="shared" si="14"/>
        <v>303800</v>
      </c>
    </row>
    <row r="15" spans="1:23" ht="9">
      <c r="A15" s="135" t="s">
        <v>29</v>
      </c>
      <c r="B15" s="116">
        <v>28</v>
      </c>
      <c r="C15" s="116">
        <v>2176</v>
      </c>
      <c r="D15" s="117">
        <f t="shared" si="0"/>
        <v>4.15608228126134</v>
      </c>
      <c r="E15" s="116">
        <v>6659</v>
      </c>
      <c r="F15" s="117">
        <f t="shared" si="1"/>
        <v>4.330296468262484</v>
      </c>
      <c r="G15" s="118">
        <v>12.71</v>
      </c>
      <c r="H15" s="59">
        <f t="shared" si="2"/>
        <v>3.060202205882353</v>
      </c>
      <c r="I15" s="61">
        <f t="shared" si="3"/>
        <v>76.5244762288477</v>
      </c>
      <c r="J15" s="133">
        <v>70</v>
      </c>
      <c r="K15" s="119">
        <f t="shared" si="4"/>
        <v>3.9107142857142856</v>
      </c>
      <c r="L15" s="111">
        <f t="shared" si="5"/>
        <v>2294.752388809226</v>
      </c>
      <c r="M15" s="112">
        <f t="shared" si="6"/>
        <v>118.75238880922598</v>
      </c>
      <c r="N15" s="63">
        <f>ROUND(V15*Hauptstelle!$N$2,Hauptstelle!W51)</f>
        <v>700</v>
      </c>
      <c r="O15" s="24">
        <f t="shared" si="7"/>
        <v>1702.75799086758</v>
      </c>
      <c r="P15" s="24">
        <f t="shared" si="8"/>
        <v>118.75238880922598</v>
      </c>
      <c r="Q15" s="24">
        <f>(P15*(1/Hauptstelle!$J$52))+((L15/100)*Hauptstelle!$J$53)</f>
        <v>126.6128583213839</v>
      </c>
      <c r="R15" s="28">
        <f t="shared" si="9"/>
        <v>1609.2494292647893</v>
      </c>
      <c r="S15" s="29">
        <f t="shared" si="10"/>
        <v>0.023225895238621758</v>
      </c>
      <c r="T15" s="28">
        <f t="shared" si="11"/>
        <v>84635.89</v>
      </c>
      <c r="U15" s="29">
        <f t="shared" si="12"/>
        <v>0.02945119490716231</v>
      </c>
      <c r="V15" s="29">
        <f t="shared" si="13"/>
        <v>0.026338545072892034</v>
      </c>
      <c r="W15" s="108">
        <f t="shared" si="14"/>
        <v>186452</v>
      </c>
    </row>
    <row r="16" spans="1:23" ht="9">
      <c r="A16" s="135" t="s">
        <v>30</v>
      </c>
      <c r="B16" s="116">
        <v>28</v>
      </c>
      <c r="C16" s="116">
        <v>2874</v>
      </c>
      <c r="D16" s="117">
        <f t="shared" si="0"/>
        <v>5.489237351261531</v>
      </c>
      <c r="E16" s="116">
        <v>5751</v>
      </c>
      <c r="F16" s="117">
        <f t="shared" si="1"/>
        <v>3.7398310540587993</v>
      </c>
      <c r="G16" s="118">
        <v>13.35</v>
      </c>
      <c r="H16" s="59">
        <f t="shared" si="2"/>
        <v>2.001043841336117</v>
      </c>
      <c r="I16" s="61">
        <f t="shared" si="3"/>
        <v>84.64952669659965</v>
      </c>
      <c r="J16" s="133">
        <v>69</v>
      </c>
      <c r="K16" s="119">
        <f t="shared" si="4"/>
        <v>4.041071428571429</v>
      </c>
      <c r="L16" s="111">
        <f t="shared" si="5"/>
        <v>1917.916715390065</v>
      </c>
      <c r="M16" s="112">
        <f t="shared" si="6"/>
        <v>-956.0832846099349</v>
      </c>
      <c r="N16" s="63">
        <f>ROUND(V16*Hauptstelle!$N$2,Hauptstelle!W51)</f>
        <v>600</v>
      </c>
      <c r="O16" s="24">
        <f t="shared" si="7"/>
        <v>1423.1374281926646</v>
      </c>
      <c r="P16" s="24">
        <f t="shared" si="8"/>
        <v>0</v>
      </c>
      <c r="Q16" s="24">
        <f>(P16*(1/Hauptstelle!$J$52))+((L16/100)*Hauptstelle!$J$53)</f>
        <v>95.89583576950325</v>
      </c>
      <c r="R16" s="28">
        <f t="shared" si="9"/>
        <v>1280.2094075228683</v>
      </c>
      <c r="S16" s="29">
        <f t="shared" si="10"/>
        <v>0.0184769427547404</v>
      </c>
      <c r="T16" s="28">
        <f t="shared" si="11"/>
        <v>76775.84999999999</v>
      </c>
      <c r="U16" s="29">
        <f t="shared" si="12"/>
        <v>0.026716095530076627</v>
      </c>
      <c r="V16" s="29">
        <f t="shared" si="13"/>
        <v>0.02259651914240851</v>
      </c>
      <c r="W16" s="108">
        <f t="shared" si="14"/>
        <v>161028</v>
      </c>
    </row>
    <row r="17" spans="1:23" ht="9">
      <c r="A17" s="135" t="s">
        <v>31</v>
      </c>
      <c r="B17" s="116">
        <v>28</v>
      </c>
      <c r="C17" s="116">
        <v>3710</v>
      </c>
      <c r="D17" s="117">
        <f t="shared" si="0"/>
        <v>7.085967492407892</v>
      </c>
      <c r="E17" s="116">
        <v>6773</v>
      </c>
      <c r="F17" s="117">
        <f t="shared" si="1"/>
        <v>4.4044297911911405</v>
      </c>
      <c r="G17" s="118">
        <v>26.77</v>
      </c>
      <c r="H17" s="59">
        <f t="shared" si="2"/>
        <v>1.8256064690026954</v>
      </c>
      <c r="I17" s="61">
        <f t="shared" si="3"/>
        <v>85.99534763504782</v>
      </c>
      <c r="J17" s="133">
        <v>68</v>
      </c>
      <c r="K17" s="119">
        <f t="shared" si="4"/>
        <v>4.171428571428572</v>
      </c>
      <c r="L17" s="111">
        <f t="shared" si="5"/>
        <v>2188.160468361177</v>
      </c>
      <c r="M17" s="112">
        <f t="shared" si="6"/>
        <v>-1521.8395316388228</v>
      </c>
      <c r="N17" s="63">
        <f>ROUND(V17*Hauptstelle!$N$2,Hauptstelle!W51)</f>
        <v>1400</v>
      </c>
      <c r="O17" s="24">
        <f t="shared" si="7"/>
        <v>1623.6643835616437</v>
      </c>
      <c r="P17" s="24">
        <f t="shared" si="8"/>
        <v>0</v>
      </c>
      <c r="Q17" s="24">
        <f>(P17*(1/Hauptstelle!$J$52))+((L17/100)*Hauptstelle!$J$53)</f>
        <v>109.40802341805886</v>
      </c>
      <c r="R17" s="28">
        <f t="shared" si="9"/>
        <v>2928.8527869014356</v>
      </c>
      <c r="S17" s="29">
        <f t="shared" si="10"/>
        <v>0.04227140104004667</v>
      </c>
      <c r="T17" s="28">
        <f t="shared" si="11"/>
        <v>181313.21</v>
      </c>
      <c r="U17" s="29">
        <f t="shared" si="12"/>
        <v>0.06309250941832419</v>
      </c>
      <c r="V17" s="29">
        <f t="shared" si="13"/>
        <v>0.05268195522918542</v>
      </c>
      <c r="W17" s="108">
        <f t="shared" si="14"/>
        <v>189644</v>
      </c>
    </row>
    <row r="18" spans="1:23" ht="9">
      <c r="A18" s="135" t="s">
        <v>32</v>
      </c>
      <c r="B18" s="116">
        <v>28</v>
      </c>
      <c r="C18" s="116">
        <v>1234</v>
      </c>
      <c r="D18" s="117">
        <f t="shared" si="0"/>
        <v>2.356895926046183</v>
      </c>
      <c r="E18" s="116">
        <v>3492</v>
      </c>
      <c r="F18" s="117">
        <f t="shared" si="1"/>
        <v>2.270820733919897</v>
      </c>
      <c r="G18" s="118">
        <v>20.56</v>
      </c>
      <c r="H18" s="59">
        <f t="shared" si="2"/>
        <v>2.8298217179902756</v>
      </c>
      <c r="I18" s="61">
        <f t="shared" si="3"/>
        <v>78.29177860171843</v>
      </c>
      <c r="J18" s="133">
        <v>67</v>
      </c>
      <c r="K18" s="119">
        <f t="shared" si="4"/>
        <v>4.301785714285714</v>
      </c>
      <c r="L18" s="111">
        <f t="shared" si="5"/>
        <v>1093.9774388349078</v>
      </c>
      <c r="M18" s="112">
        <f t="shared" si="6"/>
        <v>-140.02256116509216</v>
      </c>
      <c r="N18" s="63">
        <f>ROUND(V18*Hauptstelle!$N$2,Hauptstelle!W51)</f>
        <v>500</v>
      </c>
      <c r="O18" s="24">
        <f t="shared" si="7"/>
        <v>811.7559153175592</v>
      </c>
      <c r="P18" s="24">
        <f t="shared" si="8"/>
        <v>0</v>
      </c>
      <c r="Q18" s="24">
        <f>(P18*(1/Hauptstelle!$J$52))+((L18/100)*Hauptstelle!$J$53)</f>
        <v>54.698871941745395</v>
      </c>
      <c r="R18" s="28">
        <f t="shared" si="9"/>
        <v>1124.6088071222853</v>
      </c>
      <c r="S18" s="29">
        <f t="shared" si="10"/>
        <v>0.01623119813725019</v>
      </c>
      <c r="T18" s="28">
        <f t="shared" si="11"/>
        <v>71795.51999999999</v>
      </c>
      <c r="U18" s="29">
        <f t="shared" si="12"/>
        <v>0.02498306395763156</v>
      </c>
      <c r="V18" s="29">
        <f t="shared" si="13"/>
        <v>0.020607131047440875</v>
      </c>
      <c r="W18" s="108">
        <f t="shared" si="14"/>
        <v>97776</v>
      </c>
    </row>
    <row r="19" spans="1:23" ht="9">
      <c r="A19" s="135" t="s">
        <v>33</v>
      </c>
      <c r="B19" s="116">
        <v>28</v>
      </c>
      <c r="C19" s="116">
        <v>912</v>
      </c>
      <c r="D19" s="117">
        <f t="shared" si="0"/>
        <v>1.7418874267051205</v>
      </c>
      <c r="E19" s="116">
        <v>3527</v>
      </c>
      <c r="F19" s="117">
        <f t="shared" si="1"/>
        <v>2.293580964643607</v>
      </c>
      <c r="G19" s="118">
        <v>12.73</v>
      </c>
      <c r="H19" s="59">
        <f t="shared" si="2"/>
        <v>3.8673245614035086</v>
      </c>
      <c r="I19" s="61">
        <f t="shared" si="3"/>
        <v>70.33285267964432</v>
      </c>
      <c r="J19" s="133">
        <v>64</v>
      </c>
      <c r="K19" s="119">
        <f t="shared" si="4"/>
        <v>4.692857142857143</v>
      </c>
      <c r="L19" s="111">
        <f t="shared" si="5"/>
        <v>1012.8637527319089</v>
      </c>
      <c r="M19" s="112">
        <f t="shared" si="6"/>
        <v>100.8637527319089</v>
      </c>
      <c r="N19" s="63">
        <f>ROUND(V19*Hauptstelle!$N$2,Hauptstelle!W51)</f>
        <v>400</v>
      </c>
      <c r="O19" s="24">
        <f t="shared" si="7"/>
        <v>751.5677321156772</v>
      </c>
      <c r="P19" s="24">
        <f t="shared" si="8"/>
        <v>100.8637527319089</v>
      </c>
      <c r="Q19" s="24">
        <f>(P19*(1/Hauptstelle!$J$52))+((L19/100)*Hauptstelle!$J$53)</f>
        <v>60.72956290978633</v>
      </c>
      <c r="R19" s="28">
        <f t="shared" si="9"/>
        <v>773.08733584158</v>
      </c>
      <c r="S19" s="29">
        <f t="shared" si="10"/>
        <v>0.01115777650501641</v>
      </c>
      <c r="T19" s="28">
        <f t="shared" si="11"/>
        <v>44898.71</v>
      </c>
      <c r="U19" s="29">
        <f t="shared" si="12"/>
        <v>0.015623639797373873</v>
      </c>
      <c r="V19" s="29">
        <f t="shared" si="13"/>
        <v>0.013390708151195141</v>
      </c>
      <c r="W19" s="108">
        <f t="shared" si="14"/>
        <v>98756</v>
      </c>
    </row>
    <row r="20" spans="1:23" ht="9">
      <c r="A20" s="135" t="s">
        <v>34</v>
      </c>
      <c r="B20" s="116">
        <v>28</v>
      </c>
      <c r="C20" s="116">
        <v>3198</v>
      </c>
      <c r="D20" s="117">
        <f t="shared" si="0"/>
        <v>6.108065779169929</v>
      </c>
      <c r="E20" s="116">
        <v>8295</v>
      </c>
      <c r="F20" s="117">
        <f t="shared" si="1"/>
        <v>5.394174681519344</v>
      </c>
      <c r="G20" s="118">
        <v>20.12</v>
      </c>
      <c r="H20" s="59">
        <f t="shared" si="2"/>
        <v>2.5938086303939962</v>
      </c>
      <c r="I20" s="61">
        <f t="shared" si="3"/>
        <v>80.1022899586214</v>
      </c>
      <c r="J20" s="133">
        <v>72</v>
      </c>
      <c r="K20" s="119">
        <f t="shared" si="4"/>
        <v>3.65</v>
      </c>
      <c r="L20" s="111">
        <f t="shared" si="5"/>
        <v>3062.7138993155118</v>
      </c>
      <c r="M20" s="112">
        <f t="shared" si="6"/>
        <v>-135.28610068448825</v>
      </c>
      <c r="N20" s="63">
        <f>ROUND(V20*Hauptstelle!$N$2,Hauptstelle!W51)</f>
        <v>1300</v>
      </c>
      <c r="O20" s="24">
        <f t="shared" si="7"/>
        <v>2272.6027397260273</v>
      </c>
      <c r="P20" s="24">
        <f t="shared" si="8"/>
        <v>0</v>
      </c>
      <c r="Q20" s="24">
        <f>(P20*(1/Hauptstelle!$J$52))+((L20/100)*Hauptstelle!$J$53)</f>
        <v>153.1356949657756</v>
      </c>
      <c r="R20" s="28">
        <f t="shared" si="9"/>
        <v>3081.0901827114053</v>
      </c>
      <c r="S20" s="29">
        <f t="shared" si="10"/>
        <v>0.04446860536535648</v>
      </c>
      <c r="T20" s="28">
        <f t="shared" si="11"/>
        <v>166895.4</v>
      </c>
      <c r="U20" s="29">
        <f t="shared" si="12"/>
        <v>0.05807546839182309</v>
      </c>
      <c r="V20" s="29">
        <f t="shared" si="13"/>
        <v>0.05127203687858979</v>
      </c>
      <c r="W20" s="108">
        <f t="shared" si="14"/>
        <v>232260</v>
      </c>
    </row>
    <row r="21" spans="1:23" ht="9">
      <c r="A21" s="135" t="s">
        <v>35</v>
      </c>
      <c r="B21" s="116">
        <v>28</v>
      </c>
      <c r="C21" s="116">
        <v>5421</v>
      </c>
      <c r="D21" s="117">
        <f t="shared" si="0"/>
        <v>10.35391638176366</v>
      </c>
      <c r="E21" s="116">
        <v>13166</v>
      </c>
      <c r="F21" s="117">
        <f t="shared" si="1"/>
        <v>8.561748505953426</v>
      </c>
      <c r="G21" s="118">
        <v>17.77</v>
      </c>
      <c r="H21" s="59">
        <f t="shared" si="2"/>
        <v>2.428703191293119</v>
      </c>
      <c r="I21" s="61">
        <f t="shared" si="3"/>
        <v>81.36885223117606</v>
      </c>
      <c r="J21" s="133">
        <v>68</v>
      </c>
      <c r="K21" s="119">
        <f t="shared" si="4"/>
        <v>4.171428571428572</v>
      </c>
      <c r="L21" s="111">
        <f t="shared" si="5"/>
        <v>4253.553923880593</v>
      </c>
      <c r="M21" s="112">
        <f t="shared" si="6"/>
        <v>-1167.4460761194068</v>
      </c>
      <c r="N21" s="63">
        <f>ROUND(V21*Hauptstelle!$N$2,Hauptstelle!W51)</f>
        <v>1800</v>
      </c>
      <c r="O21" s="24">
        <f t="shared" si="7"/>
        <v>3156.2328767123286</v>
      </c>
      <c r="P21" s="24">
        <f t="shared" si="8"/>
        <v>0</v>
      </c>
      <c r="Q21" s="24">
        <f>(P21*(1/Hauptstelle!$J$52))+((L21/100)*Hauptstelle!$J$53)</f>
        <v>212.67769619402966</v>
      </c>
      <c r="R21" s="28">
        <f t="shared" si="9"/>
        <v>3779.282661367907</v>
      </c>
      <c r="S21" s="29">
        <f t="shared" si="10"/>
        <v>0.054545443095277674</v>
      </c>
      <c r="T21" s="28">
        <f t="shared" si="11"/>
        <v>233959.82</v>
      </c>
      <c r="U21" s="29">
        <f t="shared" si="12"/>
        <v>0.08141222664834753</v>
      </c>
      <c r="V21" s="29">
        <f t="shared" si="13"/>
        <v>0.06797883487181261</v>
      </c>
      <c r="W21" s="108">
        <f t="shared" si="14"/>
        <v>368648</v>
      </c>
    </row>
    <row r="22" spans="1:23" ht="9">
      <c r="A22" s="135" t="s">
        <v>36</v>
      </c>
      <c r="B22" s="116">
        <v>28</v>
      </c>
      <c r="C22" s="116">
        <v>2943</v>
      </c>
      <c r="D22" s="117">
        <f t="shared" si="0"/>
        <v>5.621024886834617</v>
      </c>
      <c r="E22" s="116">
        <v>16355</v>
      </c>
      <c r="F22" s="117">
        <f t="shared" si="1"/>
        <v>10.63553067103663</v>
      </c>
      <c r="G22" s="118">
        <v>25.16</v>
      </c>
      <c r="H22" s="59">
        <f t="shared" si="2"/>
        <v>5.557254502208631</v>
      </c>
      <c r="I22" s="61">
        <f t="shared" si="3"/>
        <v>57.36900655839955</v>
      </c>
      <c r="J22" s="133">
        <v>79</v>
      </c>
      <c r="K22" s="119">
        <f t="shared" si="4"/>
        <v>2.7375</v>
      </c>
      <c r="L22" s="111">
        <f t="shared" si="5"/>
        <v>8051.546847226071</v>
      </c>
      <c r="M22" s="112">
        <f t="shared" si="6"/>
        <v>5108.546847226071</v>
      </c>
      <c r="N22" s="63">
        <f>ROUND(V22*Hauptstelle!$N$2,Hauptstelle!W51)</f>
        <v>6200</v>
      </c>
      <c r="O22" s="24">
        <f t="shared" si="7"/>
        <v>5974.429223744292</v>
      </c>
      <c r="P22" s="24">
        <f t="shared" si="8"/>
        <v>5108.546847226071</v>
      </c>
      <c r="Q22" s="24">
        <f>(P22*(1/Hauptstelle!$J$52))+((L22/100)*Hauptstelle!$J$53)</f>
        <v>913.4320270839106</v>
      </c>
      <c r="R22" s="28">
        <f t="shared" si="9"/>
        <v>22981.94980143119</v>
      </c>
      <c r="S22" s="29">
        <f t="shared" si="10"/>
        <v>0.33169274368558826</v>
      </c>
      <c r="T22" s="28">
        <f t="shared" si="11"/>
        <v>411491.8</v>
      </c>
      <c r="U22" s="29">
        <f t="shared" si="12"/>
        <v>0.1431889616154453</v>
      </c>
      <c r="V22" s="29">
        <f t="shared" si="13"/>
        <v>0.2374408526505168</v>
      </c>
      <c r="W22" s="108">
        <f t="shared" si="14"/>
        <v>457940</v>
      </c>
    </row>
    <row r="23" spans="1:23" ht="9">
      <c r="A23" s="135" t="s">
        <v>37</v>
      </c>
      <c r="B23" s="116">
        <v>28</v>
      </c>
      <c r="C23" s="116">
        <v>2784</v>
      </c>
      <c r="D23" s="117">
        <f t="shared" si="0"/>
        <v>5.3173405657314206</v>
      </c>
      <c r="E23" s="116">
        <v>11659</v>
      </c>
      <c r="F23" s="117">
        <f t="shared" si="1"/>
        <v>7.581758000221099</v>
      </c>
      <c r="G23" s="118">
        <v>16.94</v>
      </c>
      <c r="H23" s="59">
        <f t="shared" si="2"/>
        <v>4.187859195402299</v>
      </c>
      <c r="I23" s="61">
        <f t="shared" si="3"/>
        <v>67.87395685718785</v>
      </c>
      <c r="J23" s="133">
        <v>59</v>
      </c>
      <c r="K23" s="119">
        <f t="shared" si="4"/>
        <v>5.3446428571428575</v>
      </c>
      <c r="L23" s="111">
        <f t="shared" si="5"/>
        <v>2939.852329082602</v>
      </c>
      <c r="M23" s="112">
        <f t="shared" si="6"/>
        <v>155.85232908260195</v>
      </c>
      <c r="N23" s="63">
        <f>ROUND(V23*Hauptstelle!$N$2,Hauptstelle!W51)</f>
        <v>1400</v>
      </c>
      <c r="O23" s="24">
        <f t="shared" si="7"/>
        <v>2181.4366855997328</v>
      </c>
      <c r="P23" s="24">
        <f t="shared" si="8"/>
        <v>155.85232908260195</v>
      </c>
      <c r="Q23" s="24">
        <f>(P23*(1/Hauptstelle!$J$52))+((L23/100)*Hauptstelle!$J$53)</f>
        <v>162.57784936239028</v>
      </c>
      <c r="R23" s="28">
        <f t="shared" si="9"/>
        <v>2754.0687681988916</v>
      </c>
      <c r="S23" s="29">
        <f t="shared" si="10"/>
        <v>0.03974878693564071</v>
      </c>
      <c r="T23" s="28">
        <f t="shared" si="11"/>
        <v>197503.46000000002</v>
      </c>
      <c r="U23" s="29">
        <f t="shared" si="12"/>
        <v>0.06872631569537387</v>
      </c>
      <c r="V23" s="29">
        <f t="shared" si="13"/>
        <v>0.05423755131550729</v>
      </c>
      <c r="W23" s="108">
        <f t="shared" si="14"/>
        <v>326452</v>
      </c>
    </row>
    <row r="24" spans="1:23" ht="9">
      <c r="A24" s="135" t="s">
        <v>38</v>
      </c>
      <c r="B24" s="116">
        <v>28</v>
      </c>
      <c r="C24" s="116">
        <v>3734</v>
      </c>
      <c r="D24" s="117">
        <f t="shared" si="0"/>
        <v>7.131806635215922</v>
      </c>
      <c r="E24" s="116">
        <v>11627</v>
      </c>
      <c r="F24" s="117">
        <f t="shared" si="1"/>
        <v>7.560948646416564</v>
      </c>
      <c r="G24" s="118">
        <v>17.36</v>
      </c>
      <c r="H24" s="59">
        <f t="shared" si="2"/>
        <v>3.1138189608998394</v>
      </c>
      <c r="I24" s="61">
        <f t="shared" si="3"/>
        <v>76.11316961501494</v>
      </c>
      <c r="J24" s="133">
        <v>57</v>
      </c>
      <c r="K24" s="119">
        <f t="shared" si="4"/>
        <v>5.605357142857143</v>
      </c>
      <c r="L24" s="111">
        <f t="shared" si="5"/>
        <v>2795.421411625274</v>
      </c>
      <c r="M24" s="112">
        <f t="shared" si="6"/>
        <v>-938.5785883747262</v>
      </c>
      <c r="N24" s="63">
        <f>ROUND(V24*Hauptstelle!$N$2,Hauptstelle!W51)</f>
        <v>1400</v>
      </c>
      <c r="O24" s="24">
        <f t="shared" si="7"/>
        <v>2074.2656897100987</v>
      </c>
      <c r="P24" s="24">
        <f t="shared" si="8"/>
        <v>0</v>
      </c>
      <c r="Q24" s="24">
        <f>(P24*(1/Hauptstelle!$J$52))+((L24/100)*Hauptstelle!$J$53)</f>
        <v>139.7710705812637</v>
      </c>
      <c r="R24" s="28">
        <f t="shared" si="9"/>
        <v>2426.4257852907376</v>
      </c>
      <c r="S24" s="29">
        <f t="shared" si="10"/>
        <v>0.0350199975644548</v>
      </c>
      <c r="T24" s="28">
        <f t="shared" si="11"/>
        <v>201844.72</v>
      </c>
      <c r="U24" s="29">
        <f t="shared" si="12"/>
        <v>0.0702369667253644</v>
      </c>
      <c r="V24" s="29">
        <f t="shared" si="13"/>
        <v>0.0526284821449096</v>
      </c>
      <c r="W24" s="108">
        <f t="shared" si="14"/>
        <v>325556</v>
      </c>
    </row>
    <row r="25" spans="1:23" ht="9">
      <c r="A25" s="65" t="s">
        <v>6</v>
      </c>
      <c r="B25" s="120">
        <f>IF(E25=0,(SUM(B3:B24))/22,W25/E25)</f>
        <v>28</v>
      </c>
      <c r="C25" s="65">
        <f>SUM(C3:C24)</f>
        <v>52357</v>
      </c>
      <c r="D25" s="121">
        <f>SUM(D3:D24)</f>
        <v>100.00000000000003</v>
      </c>
      <c r="E25" s="65">
        <f>SUM(E3:E24)</f>
        <v>153777</v>
      </c>
      <c r="F25" s="121">
        <f>SUM(F3:F24)</f>
        <v>100.00000000000001</v>
      </c>
      <c r="G25" s="122"/>
      <c r="H25" s="67">
        <f>E25/C25</f>
        <v>2.9370857764959797</v>
      </c>
      <c r="I25" s="123">
        <f t="shared" si="3"/>
        <v>77.4689310296199</v>
      </c>
      <c r="J25" s="124"/>
      <c r="K25" s="124"/>
      <c r="L25" s="65">
        <f>SUM(L3:L24)</f>
        <v>52357.00000000001</v>
      </c>
      <c r="M25" s="125"/>
      <c r="N25" s="63">
        <f>SUM(N3:N24)</f>
        <v>26100</v>
      </c>
      <c r="O25" s="17">
        <f>SUM(O3:O24)</f>
        <v>38850.07400476683</v>
      </c>
      <c r="P25" s="24"/>
      <c r="Q25" s="17">
        <f>SUM(P3:P24)</f>
        <v>8844.331656519655</v>
      </c>
      <c r="R25" s="18">
        <f>SUM(R3:R24)</f>
        <v>69286.86333643703</v>
      </c>
      <c r="S25" s="107"/>
      <c r="T25" s="18">
        <f>SUM(T3:T24)</f>
        <v>2873767.61</v>
      </c>
      <c r="U25" s="107"/>
      <c r="V25" s="107"/>
      <c r="W25" s="108">
        <f>SUM(W3:W24)</f>
        <v>4305756</v>
      </c>
    </row>
    <row r="26" spans="4:23" ht="9">
      <c r="D26" s="126"/>
      <c r="F26" s="126"/>
      <c r="G26" s="16" t="s">
        <v>124</v>
      </c>
      <c r="H26" s="127"/>
      <c r="I26" s="21"/>
      <c r="J26" s="16"/>
      <c r="K26" s="16"/>
      <c r="P26" s="47"/>
      <c r="Q26" s="128"/>
      <c r="T26" s="128"/>
      <c r="U26" s="108"/>
      <c r="V26" s="16"/>
      <c r="W26" s="16"/>
    </row>
    <row r="27" spans="4:23" ht="9">
      <c r="D27" s="126"/>
      <c r="F27" s="126"/>
      <c r="I27" s="21"/>
      <c r="J27" s="16"/>
      <c r="K27" s="16"/>
      <c r="P27" s="47"/>
      <c r="Q27" s="128"/>
      <c r="T27" s="128"/>
      <c r="U27" s="108"/>
      <c r="V27" s="16"/>
      <c r="W27" s="16"/>
    </row>
    <row r="28" spans="4:23" ht="9">
      <c r="D28" s="126"/>
      <c r="F28" s="126"/>
      <c r="H28" s="130"/>
      <c r="I28" s="21"/>
      <c r="J28" s="16"/>
      <c r="K28" s="16"/>
      <c r="P28" s="47"/>
      <c r="Q28" s="128"/>
      <c r="T28" s="128"/>
      <c r="U28" s="108"/>
      <c r="V28" s="16"/>
      <c r="W28" s="16"/>
    </row>
    <row r="29" spans="4:23" ht="9">
      <c r="D29" s="126"/>
      <c r="F29" s="126"/>
      <c r="H29" s="127"/>
      <c r="I29" s="21"/>
      <c r="J29" s="16"/>
      <c r="K29" s="16"/>
      <c r="P29" s="47"/>
      <c r="Q29" s="128"/>
      <c r="T29" s="128"/>
      <c r="U29" s="108"/>
      <c r="V29" s="16"/>
      <c r="W29" s="16"/>
    </row>
    <row r="30" spans="4:23" ht="9">
      <c r="D30" s="126"/>
      <c r="F30" s="126"/>
      <c r="H30" s="127"/>
      <c r="I30" s="21"/>
      <c r="J30" s="16"/>
      <c r="K30" s="16"/>
      <c r="P30" s="47"/>
      <c r="Q30" s="128"/>
      <c r="T30" s="128"/>
      <c r="U30" s="108"/>
      <c r="V30" s="16"/>
      <c r="W30" s="16"/>
    </row>
    <row r="31" spans="4:23" ht="9">
      <c r="D31" s="126"/>
      <c r="F31" s="126"/>
      <c r="H31" s="127"/>
      <c r="I31" s="21"/>
      <c r="J31" s="16"/>
      <c r="K31" s="16"/>
      <c r="P31" s="47"/>
      <c r="Q31" s="128"/>
      <c r="T31" s="128"/>
      <c r="U31" s="108"/>
      <c r="V31" s="16"/>
      <c r="W31" s="16"/>
    </row>
    <row r="32" spans="4:23" ht="9">
      <c r="D32" s="126"/>
      <c r="F32" s="126"/>
      <c r="H32" s="127"/>
      <c r="I32" s="21"/>
      <c r="J32" s="16"/>
      <c r="K32" s="16"/>
      <c r="P32" s="47"/>
      <c r="Q32" s="128"/>
      <c r="T32" s="128"/>
      <c r="U32" s="108"/>
      <c r="V32" s="16"/>
      <c r="W32" s="16"/>
    </row>
    <row r="33" spans="4:23" ht="9">
      <c r="D33" s="126"/>
      <c r="F33" s="126"/>
      <c r="H33" s="127"/>
      <c r="I33" s="21"/>
      <c r="J33" s="16"/>
      <c r="K33" s="16"/>
      <c r="P33" s="47"/>
      <c r="Q33" s="128"/>
      <c r="T33" s="128"/>
      <c r="U33" s="108"/>
      <c r="V33" s="16"/>
      <c r="W33" s="16"/>
    </row>
    <row r="34" spans="4:23" ht="9">
      <c r="D34" s="126"/>
      <c r="F34" s="126"/>
      <c r="H34" s="127"/>
      <c r="I34" s="21"/>
      <c r="J34" s="16"/>
      <c r="K34" s="16"/>
      <c r="P34" s="47"/>
      <c r="Q34" s="128"/>
      <c r="T34" s="128"/>
      <c r="U34" s="108"/>
      <c r="V34" s="16"/>
      <c r="W34" s="16"/>
    </row>
    <row r="35" spans="4:23" ht="9">
      <c r="D35" s="126"/>
      <c r="F35" s="126"/>
      <c r="H35" s="127"/>
      <c r="I35" s="21"/>
      <c r="J35" s="16"/>
      <c r="K35" s="16"/>
      <c r="P35" s="47"/>
      <c r="Q35" s="128"/>
      <c r="T35" s="128"/>
      <c r="U35" s="108"/>
      <c r="V35" s="16"/>
      <c r="W35" s="16"/>
    </row>
    <row r="36" spans="4:23" ht="9">
      <c r="D36" s="126"/>
      <c r="F36" s="126"/>
      <c r="H36" s="127"/>
      <c r="I36" s="21"/>
      <c r="J36" s="16"/>
      <c r="K36" s="16"/>
      <c r="P36" s="47"/>
      <c r="Q36" s="128"/>
      <c r="T36" s="128"/>
      <c r="U36" s="108"/>
      <c r="V36" s="16"/>
      <c r="W36" s="16"/>
    </row>
    <row r="37" spans="4:23" ht="9">
      <c r="D37" s="126"/>
      <c r="F37" s="126"/>
      <c r="H37" s="127"/>
      <c r="I37" s="21"/>
      <c r="J37" s="16"/>
      <c r="K37" s="16"/>
      <c r="P37" s="47"/>
      <c r="Q37" s="128"/>
      <c r="T37" s="128"/>
      <c r="U37" s="108"/>
      <c r="V37" s="16"/>
      <c r="W37" s="16"/>
    </row>
    <row r="38" spans="6:23" ht="9">
      <c r="F38" s="131"/>
      <c r="H38" s="71"/>
      <c r="I38" s="72"/>
      <c r="J38" s="16"/>
      <c r="K38" s="16"/>
      <c r="P38" s="47"/>
      <c r="Q38" s="128"/>
      <c r="T38" s="128"/>
      <c r="U38" s="108"/>
      <c r="V38" s="16"/>
      <c r="W38" s="16"/>
    </row>
    <row r="39" spans="10:23" ht="9">
      <c r="J39" s="16"/>
      <c r="K39" s="16"/>
      <c r="P39" s="47"/>
      <c r="Q39" s="128"/>
      <c r="T39" s="128"/>
      <c r="U39" s="108"/>
      <c r="V39" s="16"/>
      <c r="W39" s="16"/>
    </row>
    <row r="40" spans="10:23" ht="9">
      <c r="J40" s="16"/>
      <c r="K40" s="16"/>
      <c r="P40" s="47"/>
      <c r="Q40" s="128"/>
      <c r="T40" s="128"/>
      <c r="U40" s="108"/>
      <c r="V40" s="16"/>
      <c r="W40" s="16"/>
    </row>
    <row r="41" spans="10:23" ht="9">
      <c r="J41" s="16"/>
      <c r="K41" s="16"/>
      <c r="P41" s="47"/>
      <c r="Q41" s="128"/>
      <c r="T41" s="128"/>
      <c r="U41" s="108"/>
      <c r="V41" s="16"/>
      <c r="W41" s="16"/>
    </row>
    <row r="42" spans="10:23" ht="9">
      <c r="J42" s="16"/>
      <c r="K42" s="16"/>
      <c r="P42" s="47"/>
      <c r="Q42" s="128"/>
      <c r="T42" s="128"/>
      <c r="U42" s="108"/>
      <c r="V42" s="16"/>
      <c r="W42" s="16"/>
    </row>
    <row r="43" spans="10:23" ht="9">
      <c r="J43" s="16"/>
      <c r="K43" s="16"/>
      <c r="P43" s="47"/>
      <c r="Q43" s="128"/>
      <c r="T43" s="128"/>
      <c r="U43" s="108"/>
      <c r="V43" s="16"/>
      <c r="W43" s="16"/>
    </row>
    <row r="44" spans="10:23" ht="9">
      <c r="J44" s="16"/>
      <c r="K44" s="16"/>
      <c r="P44" s="47"/>
      <c r="Q44" s="128"/>
      <c r="T44" s="128"/>
      <c r="U44" s="108"/>
      <c r="V44" s="16"/>
      <c r="W44" s="16"/>
    </row>
    <row r="45" spans="10:23" ht="9">
      <c r="J45" s="16"/>
      <c r="K45" s="16"/>
      <c r="P45" s="47"/>
      <c r="Q45" s="128"/>
      <c r="T45" s="128"/>
      <c r="U45" s="108"/>
      <c r="V45" s="16"/>
      <c r="W45" s="16"/>
    </row>
    <row r="46" spans="10:23" ht="9">
      <c r="J46" s="16"/>
      <c r="K46" s="16"/>
      <c r="P46" s="47"/>
      <c r="Q46" s="128"/>
      <c r="T46" s="128"/>
      <c r="U46" s="108"/>
      <c r="V46" s="16"/>
      <c r="W46" s="16"/>
    </row>
    <row r="47" spans="10:23" ht="9">
      <c r="J47" s="16"/>
      <c r="K47" s="16"/>
      <c r="P47" s="47"/>
      <c r="Q47" s="128"/>
      <c r="T47" s="128"/>
      <c r="U47" s="108"/>
      <c r="V47" s="16"/>
      <c r="W47" s="16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2" sqref="G2:G36"/>
    </sheetView>
  </sheetViews>
  <sheetFormatPr defaultColWidth="11.421875" defaultRowHeight="12.75"/>
  <cols>
    <col min="1" max="1" width="19.28125" style="93" customWidth="1"/>
    <col min="2" max="2" width="6.140625" style="93" customWidth="1"/>
    <col min="3" max="3" width="7.00390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2812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7.00390625" style="93" bestFit="1" customWidth="1"/>
    <col min="13" max="13" width="5.8515625" style="93" bestFit="1" customWidth="1"/>
    <col min="14" max="14" width="14.421875" style="93" bestFit="1" customWidth="1"/>
    <col min="15" max="21" width="13.7109375" style="93" bestFit="1" customWidth="1"/>
    <col min="22" max="22" width="13.57421875" style="93" bestFit="1" customWidth="1"/>
    <col min="23" max="23" width="13.140625" style="93" customWidth="1"/>
    <col min="24" max="16384" width="11.421875" style="93" customWidth="1"/>
  </cols>
  <sheetData>
    <row r="1" spans="1:23" ht="27">
      <c r="A1" s="1" t="s">
        <v>8</v>
      </c>
      <c r="B1" s="91" t="s">
        <v>96</v>
      </c>
      <c r="C1" s="2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92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34" t="s">
        <v>0</v>
      </c>
      <c r="B2" s="30">
        <v>28</v>
      </c>
      <c r="C2" s="30">
        <v>3786</v>
      </c>
      <c r="D2" s="47">
        <f>C2/Hauptstelle!$C$50*100</f>
        <v>1.5968821571828062</v>
      </c>
      <c r="E2" s="30">
        <v>9087</v>
      </c>
      <c r="F2" s="47">
        <f>E2/Hauptstelle!$E$50*100</f>
        <v>0.8764594395173542</v>
      </c>
      <c r="G2" s="19">
        <v>16.84</v>
      </c>
      <c r="H2" s="20">
        <f aca="true" t="shared" si="0" ref="H2:H36">E2/C2</f>
        <v>2.4001584786053884</v>
      </c>
      <c r="I2" s="21">
        <f aca="true" t="shared" si="1" ref="I2:I37">((365-(H2*B2))*100)/365</f>
        <v>81.5878253696025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4610.8210744390035</v>
      </c>
      <c r="M2" s="25">
        <f aca="true" t="shared" si="3" ref="M2:M36">L2-C2</f>
        <v>824.8210744390035</v>
      </c>
      <c r="N2" s="26">
        <f>ROUND(V2*Hauptstelle!$J$54,Hauptstelle!W51)</f>
        <v>1800</v>
      </c>
      <c r="O2" s="27">
        <f aca="true" t="shared" si="4" ref="O2:O36">E2/K2</f>
        <v>3394.8941469489414</v>
      </c>
      <c r="P2" s="24">
        <f aca="true" t="shared" si="5" ref="P2:P36">IF(M2&lt;0,0,M2)</f>
        <v>824.8210744390035</v>
      </c>
      <c r="Q2" s="24">
        <f>(P2*(1/Hauptstelle!$J$52))+((L2/100)*Hauptstelle!$J$53)</f>
        <v>313.0231611658505</v>
      </c>
      <c r="R2" s="28">
        <f aca="true" t="shared" si="6" ref="R2:R36">Q2*G2</f>
        <v>5271.310034032923</v>
      </c>
      <c r="S2" s="29">
        <f>R2/Hauptstelle!$R$47</f>
        <v>0.024323074170982548</v>
      </c>
      <c r="T2" s="28">
        <f aca="true" t="shared" si="7" ref="T2:T36">E2*G2</f>
        <v>153025.08</v>
      </c>
      <c r="U2" s="29">
        <f>T2/Hauptstelle!$T$47</f>
        <v>0.011756645901533422</v>
      </c>
      <c r="V2" s="29">
        <f aca="true" t="shared" si="8" ref="V2:V36">(S2+U2)/2</f>
        <v>0.018039860036257984</v>
      </c>
      <c r="W2" s="16">
        <f aca="true" t="shared" si="9" ref="W2:W36">B2*E2</f>
        <v>254436</v>
      </c>
    </row>
    <row r="3" spans="1:23" ht="9">
      <c r="A3" s="134" t="s">
        <v>1</v>
      </c>
      <c r="B3" s="30">
        <v>28</v>
      </c>
      <c r="C3" s="30">
        <v>3657</v>
      </c>
      <c r="D3" s="47">
        <f>C3/Hauptstelle!$C$50*100</f>
        <v>1.5424717508762606</v>
      </c>
      <c r="E3" s="30">
        <v>10567</v>
      </c>
      <c r="F3" s="47">
        <f>E3/Hauptstelle!$E$50*100</f>
        <v>1.0192084183316696</v>
      </c>
      <c r="G3" s="19">
        <v>14.9</v>
      </c>
      <c r="H3" s="20">
        <f t="shared" si="0"/>
        <v>2.8895269346458847</v>
      </c>
      <c r="I3" s="21">
        <f t="shared" si="1"/>
        <v>77.8337659807987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2948.9821130712367</v>
      </c>
      <c r="M3" s="25">
        <f t="shared" si="3"/>
        <v>-708.0178869287633</v>
      </c>
      <c r="N3" s="26">
        <f>ROUND(V3*Hauptstelle!$J$54,Hauptstelle!W51)</f>
        <v>1100</v>
      </c>
      <c r="O3" s="27">
        <f t="shared" si="4"/>
        <v>2171.301369863014</v>
      </c>
      <c r="P3" s="24">
        <f t="shared" si="5"/>
        <v>0</v>
      </c>
      <c r="Q3" s="24">
        <f>(P3*(1/Hauptstelle!$J$52))+((L3/100)*Hauptstelle!$J$53)</f>
        <v>147.44910565356184</v>
      </c>
      <c r="R3" s="28">
        <f t="shared" si="6"/>
        <v>2196.9916742380715</v>
      </c>
      <c r="S3" s="29">
        <f>R3/Hauptstelle!$R$47</f>
        <v>0.010137440427619892</v>
      </c>
      <c r="T3" s="28">
        <f t="shared" si="7"/>
        <v>157448.30000000002</v>
      </c>
      <c r="U3" s="29">
        <f>T3/Hauptstelle!$T$47</f>
        <v>0.012096474060973568</v>
      </c>
      <c r="V3" s="29">
        <f t="shared" si="8"/>
        <v>0.011116957244296729</v>
      </c>
      <c r="W3" s="16">
        <f t="shared" si="9"/>
        <v>295876</v>
      </c>
    </row>
    <row r="4" spans="1:23" ht="9">
      <c r="A4" s="134" t="s">
        <v>2</v>
      </c>
      <c r="B4" s="30">
        <v>28</v>
      </c>
      <c r="C4" s="30">
        <v>5567</v>
      </c>
      <c r="D4" s="47">
        <f>C4/Hauptstelle!$C$50*100</f>
        <v>2.348083193089457</v>
      </c>
      <c r="E4" s="30">
        <v>21789</v>
      </c>
      <c r="F4" s="47">
        <f>E4/Hauptstelle!$E$50*100</f>
        <v>2.101592904989945</v>
      </c>
      <c r="G4" s="19">
        <v>11.21</v>
      </c>
      <c r="H4" s="20">
        <f t="shared" si="0"/>
        <v>3.9139572480689777</v>
      </c>
      <c r="I4" s="21">
        <f t="shared" si="1"/>
        <v>69.97512248056674</v>
      </c>
      <c r="J4" s="22">
        <v>60</v>
      </c>
      <c r="K4" s="23">
        <f t="shared" si="10"/>
        <v>4.866666666666666</v>
      </c>
      <c r="L4" s="24">
        <f t="shared" si="2"/>
        <v>6080.758139652613</v>
      </c>
      <c r="M4" s="25">
        <f t="shared" si="3"/>
        <v>513.758139652613</v>
      </c>
      <c r="N4" s="26">
        <f>ROUND(V4*Hauptstelle!$J$54,Hauptstelle!W51)</f>
        <v>1900</v>
      </c>
      <c r="O4" s="27">
        <f t="shared" si="4"/>
        <v>4477.191780821918</v>
      </c>
      <c r="P4" s="24">
        <f t="shared" si="5"/>
        <v>513.758139652613</v>
      </c>
      <c r="Q4" s="24">
        <f>(P4*(1/Hauptstelle!$J$52))+((L4/100)*Hauptstelle!$J$53)</f>
        <v>355.413720947892</v>
      </c>
      <c r="R4" s="28">
        <f t="shared" si="6"/>
        <v>3984.1878118258696</v>
      </c>
      <c r="S4" s="29">
        <f>R4/Hauptstelle!$R$47</f>
        <v>0.01838398709855889</v>
      </c>
      <c r="T4" s="28">
        <f t="shared" si="7"/>
        <v>244254.69000000003</v>
      </c>
      <c r="U4" s="29">
        <f>T4/Hauptstelle!$T$47</f>
        <v>0.018765655277676162</v>
      </c>
      <c r="V4" s="29">
        <f t="shared" si="8"/>
        <v>0.018574821188117527</v>
      </c>
      <c r="W4" s="16">
        <f t="shared" si="9"/>
        <v>610092</v>
      </c>
    </row>
    <row r="5" spans="1:23" ht="9">
      <c r="A5" s="134" t="s">
        <v>112</v>
      </c>
      <c r="B5" s="30">
        <v>28</v>
      </c>
      <c r="C5" s="30">
        <v>53</v>
      </c>
      <c r="D5" s="47">
        <f>C5/Hauptstelle!$C$50*100</f>
        <v>0.02235466305617769</v>
      </c>
      <c r="E5" s="30">
        <v>108</v>
      </c>
      <c r="F5" s="47">
        <f>E5/Hauptstelle!$E$50*100</f>
        <v>0.010416817372936529</v>
      </c>
      <c r="G5" s="19">
        <v>13.61</v>
      </c>
      <c r="H5" s="20">
        <f t="shared" si="0"/>
        <v>2.0377358490566038</v>
      </c>
      <c r="I5" s="21">
        <f t="shared" si="1"/>
        <v>84.36805376066167</v>
      </c>
      <c r="J5" s="22">
        <v>52</v>
      </c>
      <c r="K5" s="23">
        <f t="shared" si="10"/>
        <v>5.84</v>
      </c>
      <c r="L5" s="24">
        <f t="shared" si="2"/>
        <v>25.116720940324715</v>
      </c>
      <c r="M5" s="25">
        <f t="shared" si="3"/>
        <v>-27.883279059675285</v>
      </c>
      <c r="N5" s="26">
        <f>ROUND(V5*Hauptstelle!$J$54,Hauptstelle!W51)</f>
        <v>0</v>
      </c>
      <c r="O5" s="27">
        <f t="shared" si="4"/>
        <v>18.493150684931507</v>
      </c>
      <c r="P5" s="24">
        <f t="shared" si="5"/>
        <v>0</v>
      </c>
      <c r="Q5" s="24">
        <f>(P5*(1/Hauptstelle!$J$52))+((L5/100)*Hauptstelle!$J$53)</f>
        <v>1.2558360470162357</v>
      </c>
      <c r="R5" s="28">
        <f t="shared" si="6"/>
        <v>17.091928599890966</v>
      </c>
      <c r="S5" s="29">
        <f>R5/Hauptstelle!$R$47</f>
        <v>7.886621055795204E-05</v>
      </c>
      <c r="T5" s="28">
        <f t="shared" si="7"/>
        <v>1469.8799999999999</v>
      </c>
      <c r="U5" s="29">
        <f>T5/Hauptstelle!$T$47</f>
        <v>0.00011292827736306981</v>
      </c>
      <c r="V5" s="29">
        <f t="shared" si="8"/>
        <v>9.589724396051093E-05</v>
      </c>
      <c r="W5" s="16">
        <f t="shared" si="9"/>
        <v>3024</v>
      </c>
    </row>
    <row r="6" spans="1:23" ht="9">
      <c r="A6" s="134" t="s">
        <v>3</v>
      </c>
      <c r="B6" s="30">
        <v>28</v>
      </c>
      <c r="C6" s="30">
        <v>893</v>
      </c>
      <c r="D6" s="47">
        <f>C6/Hauptstelle!$C$50*100</f>
        <v>0.3766549831918241</v>
      </c>
      <c r="E6" s="30">
        <v>2341</v>
      </c>
      <c r="F6" s="47">
        <f>E6/Hauptstelle!$E$50*100</f>
        <v>0.22579416175967054</v>
      </c>
      <c r="G6" s="19">
        <v>51.13</v>
      </c>
      <c r="H6" s="20">
        <f t="shared" si="0"/>
        <v>2.621500559910414</v>
      </c>
      <c r="I6" s="21">
        <f t="shared" si="1"/>
        <v>79.88985871849546</v>
      </c>
      <c r="J6" s="22">
        <v>73</v>
      </c>
      <c r="K6" s="23">
        <f t="shared" si="10"/>
        <v>3.285</v>
      </c>
      <c r="L6" s="24">
        <f t="shared" si="2"/>
        <v>967.8723246304553</v>
      </c>
      <c r="M6" s="25">
        <f t="shared" si="3"/>
        <v>74.8723246304553</v>
      </c>
      <c r="N6" s="26">
        <f>ROUND(V6*Hauptstelle!$J$54,Hauptstelle!W51)</f>
        <v>1100</v>
      </c>
      <c r="O6" s="27">
        <f t="shared" si="4"/>
        <v>712.6331811263318</v>
      </c>
      <c r="P6" s="24">
        <f t="shared" si="5"/>
        <v>74.8723246304553</v>
      </c>
      <c r="Q6" s="24">
        <f>(P6*(1/Hauptstelle!$J$52))+((L6/100)*Hauptstelle!$J$53)</f>
        <v>55.8808486945683</v>
      </c>
      <c r="R6" s="28">
        <f t="shared" si="6"/>
        <v>2857.187793753277</v>
      </c>
      <c r="S6" s="29">
        <f>R6/Hauptstelle!$R$47</f>
        <v>0.013183741836318805</v>
      </c>
      <c r="T6" s="28">
        <f t="shared" si="7"/>
        <v>119695.33</v>
      </c>
      <c r="U6" s="29">
        <f>T6/Hauptstelle!$T$47</f>
        <v>0.009195980233287188</v>
      </c>
      <c r="V6" s="29">
        <f t="shared" si="8"/>
        <v>0.011189861034802996</v>
      </c>
      <c r="W6" s="16">
        <f t="shared" si="9"/>
        <v>65548</v>
      </c>
    </row>
    <row r="7" spans="1:23" ht="9">
      <c r="A7" s="134" t="s">
        <v>41</v>
      </c>
      <c r="B7" s="30">
        <v>28</v>
      </c>
      <c r="C7" s="30"/>
      <c r="D7" s="47">
        <f>C7/Hauptstelle!$C$50*100</f>
        <v>0</v>
      </c>
      <c r="E7" s="30"/>
      <c r="F7" s="47">
        <f>E7/Hauptstelle!$E$50*100</f>
        <v>0</v>
      </c>
      <c r="G7" s="19">
        <v>19.4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34" t="s">
        <v>42</v>
      </c>
      <c r="B8" s="30">
        <v>28</v>
      </c>
      <c r="C8" s="30"/>
      <c r="D8" s="47">
        <f>C8/Hauptstelle!$C$50*100</f>
        <v>0</v>
      </c>
      <c r="E8" s="30"/>
      <c r="F8" s="47">
        <f>E8/Hauptstelle!$E$50*100</f>
        <v>0</v>
      </c>
      <c r="G8" s="19">
        <v>25.8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34" t="s">
        <v>43</v>
      </c>
      <c r="B9" s="30">
        <v>28</v>
      </c>
      <c r="C9" s="30">
        <v>345</v>
      </c>
      <c r="D9" s="47">
        <f>C9/Hauptstelle!$C$50*100</f>
        <v>0.14551620291285478</v>
      </c>
      <c r="E9" s="30">
        <v>1454</v>
      </c>
      <c r="F9" s="47">
        <f>E9/Hauptstelle!$E$50*100</f>
        <v>0.14024122648379364</v>
      </c>
      <c r="G9" s="19">
        <v>13.5</v>
      </c>
      <c r="H9" s="20">
        <f t="shared" si="0"/>
        <v>4.214492753623189</v>
      </c>
      <c r="I9" s="21">
        <f t="shared" si="1"/>
        <v>67.66964462973992</v>
      </c>
      <c r="J9" s="22">
        <v>47</v>
      </c>
      <c r="K9" s="23">
        <f t="shared" si="10"/>
        <v>6.448333333333333</v>
      </c>
      <c r="L9" s="24">
        <f t="shared" si="2"/>
        <v>306.24496643381246</v>
      </c>
      <c r="M9" s="25">
        <f t="shared" si="3"/>
        <v>-38.755033566187535</v>
      </c>
      <c r="N9" s="26">
        <f>ROUND(V9*Hauptstelle!$J$54,Hauptstelle!W51)</f>
        <v>100</v>
      </c>
      <c r="O9" s="27">
        <f t="shared" si="4"/>
        <v>225.48462134918583</v>
      </c>
      <c r="P9" s="24">
        <f t="shared" si="5"/>
        <v>0</v>
      </c>
      <c r="Q9" s="24">
        <f>(P9*(1/Hauptstelle!$J$52))+((L9/100)*Hauptstelle!$J$53)</f>
        <v>15.312248321690623</v>
      </c>
      <c r="R9" s="28">
        <f t="shared" si="6"/>
        <v>206.71535234282342</v>
      </c>
      <c r="S9" s="29">
        <f>R9/Hauptstelle!$R$47</f>
        <v>0.0009538336418942423</v>
      </c>
      <c r="T9" s="28">
        <f t="shared" si="7"/>
        <v>19629</v>
      </c>
      <c r="U9" s="29">
        <f>T9/Hauptstelle!$T$47</f>
        <v>0.0015080613086508406</v>
      </c>
      <c r="V9" s="29">
        <f t="shared" si="8"/>
        <v>0.0012309474752725414</v>
      </c>
      <c r="W9" s="16">
        <f t="shared" si="9"/>
        <v>40712</v>
      </c>
    </row>
    <row r="10" spans="1:23" ht="9">
      <c r="A10" s="134" t="s">
        <v>44</v>
      </c>
      <c r="B10" s="30">
        <v>28</v>
      </c>
      <c r="C10" s="30">
        <v>365</v>
      </c>
      <c r="D10" s="47">
        <f>C10/Hauptstelle!$C$50*100</f>
        <v>0.15395192482084635</v>
      </c>
      <c r="E10" s="30">
        <v>1034</v>
      </c>
      <c r="F10" s="47">
        <f>E10/Hauptstelle!$E$50*100</f>
        <v>0.09973138114459604</v>
      </c>
      <c r="G10" s="19">
        <v>13.95</v>
      </c>
      <c r="H10" s="20">
        <f t="shared" si="0"/>
        <v>2.8328767123287673</v>
      </c>
      <c r="I10" s="21">
        <f t="shared" si="1"/>
        <v>78.26834302871083</v>
      </c>
      <c r="J10" s="22">
        <v>50</v>
      </c>
      <c r="K10" s="23">
        <f t="shared" si="10"/>
        <v>6.083333333333333</v>
      </c>
      <c r="L10" s="24">
        <f t="shared" si="2"/>
        <v>230.8505729092956</v>
      </c>
      <c r="M10" s="25">
        <f t="shared" si="3"/>
        <v>-134.1494270907044</v>
      </c>
      <c r="N10" s="26">
        <f>ROUND(V10*Hauptstelle!$J$54,Hauptstelle!W51)</f>
        <v>100</v>
      </c>
      <c r="O10" s="27">
        <f t="shared" si="4"/>
        <v>169.97260273972603</v>
      </c>
      <c r="P10" s="24">
        <f t="shared" si="5"/>
        <v>0</v>
      </c>
      <c r="Q10" s="24">
        <f>(P10*(1/Hauptstelle!$J$52))+((L10/100)*Hauptstelle!$J$53)</f>
        <v>11.542528645464781</v>
      </c>
      <c r="R10" s="28">
        <f t="shared" si="6"/>
        <v>161.01827460423368</v>
      </c>
      <c r="S10" s="29">
        <f>R10/Hauptstelle!$R$47</f>
        <v>0.0007429764917632903</v>
      </c>
      <c r="T10" s="28">
        <f t="shared" si="7"/>
        <v>14424.3</v>
      </c>
      <c r="U10" s="29">
        <f>T10/Hauptstelle!$T$47</f>
        <v>0.0011081934247476855</v>
      </c>
      <c r="V10" s="29">
        <f t="shared" si="8"/>
        <v>0.0009255849582554879</v>
      </c>
      <c r="W10" s="16">
        <f t="shared" si="9"/>
        <v>28952</v>
      </c>
    </row>
    <row r="11" spans="1:23" ht="9">
      <c r="A11" s="134" t="s">
        <v>45</v>
      </c>
      <c r="B11" s="30">
        <v>28</v>
      </c>
      <c r="C11" s="30"/>
      <c r="D11" s="47">
        <f>C11/Hauptstelle!$C$50*100</f>
        <v>0</v>
      </c>
      <c r="E11" s="30"/>
      <c r="F11" s="47">
        <f>E11/Hauptstelle!$E$50*100</f>
        <v>0</v>
      </c>
      <c r="G11" s="19">
        <v>25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34" t="s">
        <v>46</v>
      </c>
      <c r="B12" s="30">
        <v>28</v>
      </c>
      <c r="C12" s="30">
        <v>1456</v>
      </c>
      <c r="D12" s="47">
        <f>C12/Hauptstelle!$C$50*100</f>
        <v>0.6141205549017872</v>
      </c>
      <c r="E12" s="30">
        <v>5332</v>
      </c>
      <c r="F12" s="47">
        <f>E12/Hauptstelle!$E$50*100</f>
        <v>0.5142821317823849</v>
      </c>
      <c r="G12" s="19">
        <v>9.45</v>
      </c>
      <c r="H12" s="20">
        <f t="shared" si="0"/>
        <v>3.662087912087912</v>
      </c>
      <c r="I12" s="21">
        <f t="shared" si="1"/>
        <v>71.9072708113804</v>
      </c>
      <c r="J12" s="22">
        <v>47</v>
      </c>
      <c r="K12" s="23">
        <f t="shared" si="10"/>
        <v>6.448333333333333</v>
      </c>
      <c r="L12" s="24">
        <f t="shared" si="2"/>
        <v>1123.038625189194</v>
      </c>
      <c r="M12" s="25">
        <f t="shared" si="3"/>
        <v>-332.9613748108061</v>
      </c>
      <c r="N12" s="26">
        <f>ROUND(V12*Hauptstelle!$J$54,Hauptstelle!W51)</f>
        <v>300</v>
      </c>
      <c r="O12" s="27">
        <f t="shared" si="4"/>
        <v>826.8803308348411</v>
      </c>
      <c r="P12" s="24">
        <f t="shared" si="5"/>
        <v>0</v>
      </c>
      <c r="Q12" s="24">
        <f>(P12*(1/Hauptstelle!$J$52))+((L12/100)*Hauptstelle!$J$53)</f>
        <v>56.1519312594597</v>
      </c>
      <c r="R12" s="28">
        <f t="shared" si="6"/>
        <v>530.6357504018941</v>
      </c>
      <c r="S12" s="29">
        <f>R12/Hauptstelle!$R$47</f>
        <v>0.0024484791506231562</v>
      </c>
      <c r="T12" s="28">
        <f t="shared" si="7"/>
        <v>50387.399999999994</v>
      </c>
      <c r="U12" s="29">
        <f>T12/Hauptstelle!$T$47</f>
        <v>0.0038711747100470405</v>
      </c>
      <c r="V12" s="29">
        <f t="shared" si="8"/>
        <v>0.003159826930335098</v>
      </c>
      <c r="W12" s="16">
        <f t="shared" si="9"/>
        <v>149296</v>
      </c>
    </row>
    <row r="13" spans="1:23" ht="9">
      <c r="A13" s="134" t="s">
        <v>47</v>
      </c>
      <c r="B13" s="30">
        <v>28</v>
      </c>
      <c r="C13" s="30"/>
      <c r="D13" s="47">
        <f>C13/Hauptstelle!$C$50*100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34" t="s">
        <v>48</v>
      </c>
      <c r="B14" s="30">
        <v>28</v>
      </c>
      <c r="C14" s="30"/>
      <c r="D14" s="47">
        <f>C14/Hauptstelle!$C$50*100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34" t="s">
        <v>49</v>
      </c>
      <c r="B15" s="30">
        <v>7</v>
      </c>
      <c r="C15" s="30"/>
      <c r="D15" s="47">
        <f>C15/Hauptstelle!$C$50*100</f>
        <v>0</v>
      </c>
      <c r="E15" s="30"/>
      <c r="F15" s="47">
        <f>E15/Hauptstelle!$E$50*100</f>
        <v>0</v>
      </c>
      <c r="G15" s="19">
        <v>55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34" t="s">
        <v>50</v>
      </c>
      <c r="B16" s="30">
        <v>28</v>
      </c>
      <c r="C16" s="30">
        <v>234</v>
      </c>
      <c r="D16" s="47">
        <f>C16/Hauptstelle!$C$50*100</f>
        <v>0.0986979463235015</v>
      </c>
      <c r="E16" s="30">
        <v>456</v>
      </c>
      <c r="F16" s="47">
        <f>E16/Hauptstelle!$E$50*100</f>
        <v>0.04398211779684313</v>
      </c>
      <c r="G16" s="19">
        <v>20.45</v>
      </c>
      <c r="H16" s="20">
        <f t="shared" si="0"/>
        <v>1.9487179487179487</v>
      </c>
      <c r="I16" s="21">
        <f t="shared" si="1"/>
        <v>85.05093080435547</v>
      </c>
      <c r="J16" s="22">
        <v>35</v>
      </c>
      <c r="K16" s="23">
        <f t="shared" si="10"/>
        <v>7.908333333333333</v>
      </c>
      <c r="L16" s="24">
        <f t="shared" si="2"/>
        <v>78.31264785496117</v>
      </c>
      <c r="M16" s="25">
        <f t="shared" si="3"/>
        <v>-155.68735214503883</v>
      </c>
      <c r="N16" s="26">
        <f>ROUND(V16*Hauptstelle!$J$54,Hauptstelle!W51)</f>
        <v>100</v>
      </c>
      <c r="O16" s="27">
        <f t="shared" si="4"/>
        <v>57.660695468914646</v>
      </c>
      <c r="P16" s="24">
        <f t="shared" si="5"/>
        <v>0</v>
      </c>
      <c r="Q16" s="24">
        <f>(P16*(1/Hauptstelle!$J$52))+((L16/100)*Hauptstelle!$J$53)</f>
        <v>3.9156323927480585</v>
      </c>
      <c r="R16" s="28">
        <f t="shared" si="6"/>
        <v>80.0746824316978</v>
      </c>
      <c r="S16" s="29">
        <f>R16/Hauptstelle!$R$47</f>
        <v>0.0003694835681129459</v>
      </c>
      <c r="T16" s="28">
        <f t="shared" si="7"/>
        <v>9325.199999999999</v>
      </c>
      <c r="U16" s="29">
        <f>T16/Hauptstelle!$T$47</f>
        <v>0.000716438601835591</v>
      </c>
      <c r="V16" s="29">
        <f t="shared" si="8"/>
        <v>0.0005429610849742685</v>
      </c>
      <c r="W16" s="16">
        <f t="shared" si="9"/>
        <v>12768</v>
      </c>
    </row>
    <row r="17" spans="1:23" ht="9">
      <c r="A17" s="134" t="s">
        <v>4</v>
      </c>
      <c r="B17" s="30">
        <v>56</v>
      </c>
      <c r="C17" s="30"/>
      <c r="D17" s="47">
        <f>C17/Hauptstelle!$C$50*100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34" t="s">
        <v>51</v>
      </c>
      <c r="B18" s="30">
        <v>28</v>
      </c>
      <c r="C18" s="30"/>
      <c r="D18" s="47">
        <f>C18/Hauptstelle!$C$50*100</f>
        <v>0</v>
      </c>
      <c r="E18" s="30"/>
      <c r="F18" s="47">
        <f>E18/Hauptstelle!$E$50*100</f>
        <v>0</v>
      </c>
      <c r="G18" s="19">
        <v>25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34" t="s">
        <v>53</v>
      </c>
      <c r="B19" s="30">
        <v>28</v>
      </c>
      <c r="C19" s="30"/>
      <c r="D19" s="47">
        <f>C19/Hauptstelle!$C$50*100</f>
        <v>0</v>
      </c>
      <c r="E19" s="30"/>
      <c r="F19" s="47">
        <f>E19/Hauptstelle!$E$50*100</f>
        <v>0</v>
      </c>
      <c r="G19" s="19">
        <v>22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34" t="s">
        <v>54</v>
      </c>
      <c r="B20" s="30">
        <v>28</v>
      </c>
      <c r="C20" s="30"/>
      <c r="D20" s="47">
        <f>C20/Hauptstelle!$C$50*100</f>
        <v>0</v>
      </c>
      <c r="E20" s="30"/>
      <c r="F20" s="47">
        <f>E20/Hauptstelle!$E$50*100</f>
        <v>0</v>
      </c>
      <c r="G20" s="19">
        <v>24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34" t="s">
        <v>52</v>
      </c>
      <c r="B21" s="30">
        <v>28</v>
      </c>
      <c r="C21" s="30">
        <v>176</v>
      </c>
      <c r="D21" s="47">
        <f>C21/Hauptstelle!$C$50*100</f>
        <v>0.0742343527903259</v>
      </c>
      <c r="E21" s="30">
        <v>387</v>
      </c>
      <c r="F21" s="47">
        <f>E21/Hauptstelle!$E$50*100</f>
        <v>0.03732692891968923</v>
      </c>
      <c r="G21" s="19">
        <v>21</v>
      </c>
      <c r="H21" s="20">
        <f t="shared" si="0"/>
        <v>2.1988636363636362</v>
      </c>
      <c r="I21" s="21">
        <f t="shared" si="1"/>
        <v>83.13200498132005</v>
      </c>
      <c r="J21" s="22">
        <v>73</v>
      </c>
      <c r="K21" s="23">
        <f t="shared" si="10"/>
        <v>3.285</v>
      </c>
      <c r="L21" s="24">
        <f t="shared" si="2"/>
        <v>160.00281487910559</v>
      </c>
      <c r="M21" s="25">
        <f t="shared" si="3"/>
        <v>-15.997185120894414</v>
      </c>
      <c r="N21" s="26">
        <f>ROUND(V21*Hauptstelle!$J$54,Hauptstelle!W51)</f>
        <v>100</v>
      </c>
      <c r="O21" s="27">
        <f t="shared" si="4"/>
        <v>117.80821917808218</v>
      </c>
      <c r="P21" s="24">
        <f t="shared" si="5"/>
        <v>0</v>
      </c>
      <c r="Q21" s="24">
        <f>(P21*(1/Hauptstelle!$J$52))+((L21/100)*Hauptstelle!$J$53)</f>
        <v>8.00014074395528</v>
      </c>
      <c r="R21" s="28">
        <f t="shared" si="6"/>
        <v>168.00295562306087</v>
      </c>
      <c r="S21" s="29">
        <f>R21/Hauptstelle!$R$47</f>
        <v>0.0007752054658484306</v>
      </c>
      <c r="T21" s="28">
        <f t="shared" si="7"/>
        <v>8127</v>
      </c>
      <c r="U21" s="29">
        <f>T21/Hauptstelle!$T$47</f>
        <v>0.0006243830177495227</v>
      </c>
      <c r="V21" s="29">
        <f t="shared" si="8"/>
        <v>0.0006997942417989767</v>
      </c>
      <c r="W21" s="16">
        <f t="shared" si="9"/>
        <v>10836</v>
      </c>
    </row>
    <row r="22" spans="1:23" ht="9">
      <c r="A22" s="134" t="s">
        <v>55</v>
      </c>
      <c r="B22" s="30">
        <v>28</v>
      </c>
      <c r="C22" s="30"/>
      <c r="D22" s="47">
        <f>C22/Hauptstelle!$C$50*100</f>
        <v>0</v>
      </c>
      <c r="E22" s="30"/>
      <c r="F22" s="47">
        <f>E22/Hauptstelle!$E$50*100</f>
        <v>0</v>
      </c>
      <c r="G22" s="19">
        <v>13.5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34" t="s">
        <v>56</v>
      </c>
      <c r="B23" s="30">
        <v>28</v>
      </c>
      <c r="C23" s="30"/>
      <c r="D23" s="47">
        <f>C23/Hauptstelle!$C$50*100</f>
        <v>0</v>
      </c>
      <c r="E23" s="30"/>
      <c r="F23" s="47">
        <f>E23/Hauptstelle!$E$50*100</f>
        <v>0</v>
      </c>
      <c r="G23" s="19">
        <v>18.9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34" t="s">
        <v>5</v>
      </c>
      <c r="B24" s="30">
        <v>28</v>
      </c>
      <c r="C24" s="30"/>
      <c r="D24" s="47">
        <f>C24/Hauptstelle!$C$50*100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34" t="s">
        <v>57</v>
      </c>
      <c r="B25" s="30">
        <v>28</v>
      </c>
      <c r="C25" s="30"/>
      <c r="D25" s="47">
        <f>C25/Hauptstelle!$C$50*100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34" t="s">
        <v>58</v>
      </c>
      <c r="B26" s="30">
        <v>28</v>
      </c>
      <c r="C26" s="30"/>
      <c r="D26" s="47">
        <f>C26/Hauptstelle!$C$50*100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34" t="s">
        <v>113</v>
      </c>
      <c r="B27" s="30">
        <v>28</v>
      </c>
      <c r="C27" s="30"/>
      <c r="D27" s="47">
        <f>C27/Hauptstelle!$C$50*100</f>
        <v>0</v>
      </c>
      <c r="E27" s="30"/>
      <c r="F27" s="47">
        <f>E27/Hauptstelle!$E$50*100</f>
        <v>0</v>
      </c>
      <c r="G27" s="19">
        <v>9.09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34" t="s">
        <v>114</v>
      </c>
      <c r="B28" s="30">
        <v>28</v>
      </c>
      <c r="C28" s="30"/>
      <c r="D28" s="47">
        <f>C28/Hauptstelle!$C$50*100</f>
        <v>0</v>
      </c>
      <c r="E28" s="30"/>
      <c r="F28" s="47">
        <f>E28/Hauptstelle!$E$50*100</f>
        <v>0</v>
      </c>
      <c r="G28" s="19">
        <v>7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34" t="s">
        <v>115</v>
      </c>
      <c r="B29" s="30">
        <v>28</v>
      </c>
      <c r="C29" s="30"/>
      <c r="D29" s="47">
        <f>C29/Hauptstelle!$C$50*100</f>
        <v>0</v>
      </c>
      <c r="E29" s="30"/>
      <c r="F29" s="47">
        <f>E29/Hauptstelle!$E$50*100</f>
        <v>0</v>
      </c>
      <c r="G29" s="19">
        <v>3.5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34" t="s">
        <v>116</v>
      </c>
      <c r="B30" s="30">
        <v>28</v>
      </c>
      <c r="C30" s="30"/>
      <c r="D30" s="47">
        <f>C30/Hauptstelle!$C$50*100</f>
        <v>0</v>
      </c>
      <c r="E30" s="30"/>
      <c r="F30" s="47">
        <f>E30/Hauptstelle!$E$50*100</f>
        <v>0</v>
      </c>
      <c r="G30" s="19">
        <v>7.778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34" t="s">
        <v>117</v>
      </c>
      <c r="B31" s="30">
        <v>28</v>
      </c>
      <c r="C31" s="30"/>
      <c r="D31" s="47">
        <f>C31/Hauptstelle!$C$50*100</f>
        <v>0</v>
      </c>
      <c r="E31" s="30"/>
      <c r="F31" s="47">
        <f>E31/Hauptstelle!$E$50*100</f>
        <v>0</v>
      </c>
      <c r="G31" s="19">
        <v>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34" t="s">
        <v>118</v>
      </c>
      <c r="B32" s="30">
        <v>28</v>
      </c>
      <c r="C32" s="30"/>
      <c r="D32" s="47">
        <f>C32/Hauptstelle!$C$50*100</f>
        <v>0</v>
      </c>
      <c r="E32" s="30"/>
      <c r="F32" s="47">
        <f>E32/Hauptstelle!$E$50*100</f>
        <v>0</v>
      </c>
      <c r="G32" s="19">
        <v>11.25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34" t="s">
        <v>119</v>
      </c>
      <c r="B33" s="30">
        <v>28</v>
      </c>
      <c r="C33" s="30"/>
      <c r="D33" s="47">
        <f>C33/Hauptstelle!$C$50*100</f>
        <v>0</v>
      </c>
      <c r="E33" s="30"/>
      <c r="F33" s="47">
        <f>E33/Hauptstelle!$E$50*100</f>
        <v>0</v>
      </c>
      <c r="G33" s="19">
        <v>10.71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34" t="s">
        <v>120</v>
      </c>
      <c r="B34" s="30">
        <v>28</v>
      </c>
      <c r="C34" s="30"/>
      <c r="D34" s="47">
        <f>C34/Hauptstelle!$C$50*100</f>
        <v>0</v>
      </c>
      <c r="E34" s="30"/>
      <c r="F34" s="47">
        <f>E34/Hauptstelle!$E$50*100</f>
        <v>0</v>
      </c>
      <c r="G34" s="19">
        <v>20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34" t="s">
        <v>121</v>
      </c>
      <c r="B35" s="30">
        <v>28</v>
      </c>
      <c r="C35" s="30"/>
      <c r="D35" s="47">
        <f>C35/Hauptstelle!$C$50*100</f>
        <v>0</v>
      </c>
      <c r="E35" s="30"/>
      <c r="F35" s="47">
        <f>E35/Hauptstelle!$E$50*100</f>
        <v>0</v>
      </c>
      <c r="G35" s="19">
        <v>10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34" t="s">
        <v>122</v>
      </c>
      <c r="B36" s="30">
        <v>28</v>
      </c>
      <c r="C36" s="30"/>
      <c r="D36" s="47">
        <f>C36/Hauptstelle!$C$50*100</f>
        <v>0</v>
      </c>
      <c r="E36" s="30"/>
      <c r="F36" s="47">
        <f>E36/Hauptstelle!$E$50*100</f>
        <v>0</v>
      </c>
      <c r="G36" s="19">
        <v>10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6</v>
      </c>
      <c r="B37" s="32">
        <f>IF(E37=0,SUM(B2:B36)/35,W37/E37)</f>
        <v>28</v>
      </c>
      <c r="C37" s="32">
        <f>SUM(C2:C36)</f>
        <v>16532</v>
      </c>
      <c r="D37" s="32"/>
      <c r="E37" s="32">
        <f>SUM(E2:E36)</f>
        <v>52555</v>
      </c>
      <c r="F37" s="32"/>
      <c r="G37" s="94"/>
      <c r="H37" s="34">
        <f>E37/C37</f>
        <v>3.178986208565207</v>
      </c>
      <c r="I37" s="95">
        <f t="shared" si="1"/>
        <v>75.61325648223949</v>
      </c>
      <c r="J37" s="96"/>
      <c r="K37" s="96"/>
      <c r="L37" s="32">
        <f>SUM(L2:L36)</f>
        <v>16532.000000000004</v>
      </c>
      <c r="M37" s="97"/>
      <c r="N37" s="38">
        <f>SUM(N2:N36)</f>
        <v>6600</v>
      </c>
      <c r="O37" s="39">
        <f>SUM(O2:O36)</f>
        <v>12172.320099015884</v>
      </c>
      <c r="P37" s="40"/>
      <c r="Q37" s="41">
        <f>SUM(P2:P36)</f>
        <v>1413.4515387220717</v>
      </c>
      <c r="R37" s="42">
        <f>SUM(R2:R36)</f>
        <v>15473.216257853743</v>
      </c>
      <c r="S37" s="43"/>
      <c r="T37" s="42">
        <f>SUM(T2:T36)</f>
        <v>777786.18</v>
      </c>
      <c r="U37" s="43"/>
      <c r="V37" s="43"/>
      <c r="W37" s="16">
        <f>SUM(W2:W36)</f>
        <v>1471540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2" sqref="G2:G36"/>
    </sheetView>
  </sheetViews>
  <sheetFormatPr defaultColWidth="11.421875" defaultRowHeight="12.75"/>
  <cols>
    <col min="1" max="1" width="19.421875" style="93" customWidth="1"/>
    <col min="2" max="2" width="6.140625" style="93" customWidth="1"/>
    <col min="3" max="3" width="6.7109375" style="93" bestFit="1" customWidth="1"/>
    <col min="4" max="4" width="7.00390625" style="93" bestFit="1" customWidth="1"/>
    <col min="5" max="5" width="7.8515625" style="93" bestFit="1" customWidth="1"/>
    <col min="6" max="6" width="7.00390625" style="93" bestFit="1" customWidth="1"/>
    <col min="7" max="7" width="7.140625" style="93" bestFit="1" customWidth="1"/>
    <col min="8" max="8" width="6.140625" style="93" bestFit="1" customWidth="1"/>
    <col min="9" max="9" width="8.140625" style="93" bestFit="1" customWidth="1"/>
    <col min="10" max="10" width="12.28125" style="93" bestFit="1" customWidth="1"/>
    <col min="11" max="11" width="6.140625" style="93" bestFit="1" customWidth="1"/>
    <col min="12" max="12" width="6.7109375" style="93" bestFit="1" customWidth="1"/>
    <col min="13" max="13" width="5.8515625" style="93" bestFit="1" customWidth="1"/>
    <col min="14" max="14" width="14.28125" style="93" bestFit="1" customWidth="1"/>
    <col min="15" max="22" width="13.57421875" style="93" bestFit="1" customWidth="1"/>
    <col min="23" max="23" width="12.8515625" style="93" customWidth="1"/>
    <col min="24" max="16384" width="11.421875" style="93" customWidth="1"/>
  </cols>
  <sheetData>
    <row r="1" spans="1:23" ht="27">
      <c r="A1" s="1" t="s">
        <v>9</v>
      </c>
      <c r="B1" s="91" t="s">
        <v>96</v>
      </c>
      <c r="C1" s="2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92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34" t="s">
        <v>0</v>
      </c>
      <c r="B2" s="30">
        <v>28</v>
      </c>
      <c r="C2" s="30">
        <v>5436</v>
      </c>
      <c r="D2" s="47">
        <f>C2/Hauptstelle!$E$50*100</f>
        <v>0.524313141104472</v>
      </c>
      <c r="E2" s="30">
        <v>8800</v>
      </c>
      <c r="F2" s="47">
        <f>E2/Hauptstelle!$E$50*100</f>
        <v>0.8487777118689024</v>
      </c>
      <c r="G2" s="19">
        <v>16.84</v>
      </c>
      <c r="H2" s="20">
        <f aca="true" t="shared" si="0" ref="H2:H36">E2/C2</f>
        <v>1.6188373804267844</v>
      </c>
      <c r="I2" s="21">
        <f aca="true" t="shared" si="1" ref="I2:I37">((365-(H2*B2))*100)/365</f>
        <v>87.58152146521918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6291.524876333565</v>
      </c>
      <c r="M2" s="25">
        <f aca="true" t="shared" si="3" ref="M2:M36">L2-C2</f>
        <v>855.5248763335649</v>
      </c>
      <c r="N2" s="26">
        <f>ROUND(V2*Hauptstelle!$J$54,Hauptstelle!W51)</f>
        <v>2100</v>
      </c>
      <c r="O2" s="27">
        <f aca="true" t="shared" si="4" ref="O2:O36">E2/K2</f>
        <v>3287.671232876712</v>
      </c>
      <c r="P2" s="24">
        <f aca="true" t="shared" si="5" ref="P2:P36">IF(M2&lt;0,0,M2)</f>
        <v>855.5248763335649</v>
      </c>
      <c r="Q2" s="24">
        <f>(P2*(1/Hauptstelle!$J$52))+((L2/100)*Hauptstelle!$J$53)</f>
        <v>400.1287314500347</v>
      </c>
      <c r="R2" s="28">
        <f aca="true" t="shared" si="6" ref="R2:R36">Q2*G2</f>
        <v>6738.167837618585</v>
      </c>
      <c r="S2" s="29">
        <f>R2/Hauptstelle!$R$47</f>
        <v>0.0310915038259543</v>
      </c>
      <c r="T2" s="28">
        <f aca="true" t="shared" si="7" ref="T2:T36">E2*G2</f>
        <v>148192</v>
      </c>
      <c r="U2" s="29">
        <f>T2/Hauptstelle!$T$47</f>
        <v>0.011385328924121725</v>
      </c>
      <c r="V2" s="29">
        <f aca="true" t="shared" si="8" ref="V2:V36">(S2+U2)/2</f>
        <v>0.021238416375038014</v>
      </c>
      <c r="W2" s="16">
        <f aca="true" t="shared" si="9" ref="W2:W36">B2*E2</f>
        <v>246400</v>
      </c>
    </row>
    <row r="3" spans="1:23" ht="9">
      <c r="A3" s="134" t="s">
        <v>1</v>
      </c>
      <c r="B3" s="30">
        <v>28</v>
      </c>
      <c r="C3" s="30">
        <v>6756</v>
      </c>
      <c r="D3" s="47">
        <f>C3/Hauptstelle!$E$50*100</f>
        <v>0.6516297978848073</v>
      </c>
      <c r="E3" s="30">
        <v>12050</v>
      </c>
      <c r="F3" s="47">
        <f>E3/Hauptstelle!$E$50*100</f>
        <v>1.162246753184122</v>
      </c>
      <c r="G3" s="19">
        <v>14.9</v>
      </c>
      <c r="H3" s="20">
        <f t="shared" si="0"/>
        <v>1.7835997631734755</v>
      </c>
      <c r="I3" s="21">
        <f t="shared" si="1"/>
        <v>86.3175908578473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4738.304672488716</v>
      </c>
      <c r="M3" s="25">
        <f t="shared" si="3"/>
        <v>-2017.6953275112837</v>
      </c>
      <c r="N3" s="26">
        <f>ROUND(V3*Hauptstelle!$J$54,Hauptstelle!W51)</f>
        <v>1500</v>
      </c>
      <c r="O3" s="27">
        <f t="shared" si="4"/>
        <v>2476.027397260274</v>
      </c>
      <c r="P3" s="24">
        <f t="shared" si="5"/>
        <v>0</v>
      </c>
      <c r="Q3" s="24">
        <f>(P3*(1/Hauptstelle!$J$52))+((L3/100)*Hauptstelle!$J$53)</f>
        <v>236.9152336244358</v>
      </c>
      <c r="R3" s="28">
        <f t="shared" si="6"/>
        <v>3530.036981004094</v>
      </c>
      <c r="S3" s="29">
        <f>R3/Hauptstelle!$R$47</f>
        <v>0.016288427499223358</v>
      </c>
      <c r="T3" s="28">
        <f t="shared" si="7"/>
        <v>179545</v>
      </c>
      <c r="U3" s="29">
        <f>T3/Hauptstelle!$T$47</f>
        <v>0.013794124390530092</v>
      </c>
      <c r="V3" s="29">
        <f t="shared" si="8"/>
        <v>0.015041275944876725</v>
      </c>
      <c r="W3" s="16">
        <f t="shared" si="9"/>
        <v>337400</v>
      </c>
    </row>
    <row r="4" spans="1:23" ht="9">
      <c r="A4" s="134" t="s">
        <v>2</v>
      </c>
      <c r="B4" s="30">
        <v>28</v>
      </c>
      <c r="C4" s="30">
        <v>7867</v>
      </c>
      <c r="D4" s="47">
        <f>C4/Hauptstelle!$E$50*100</f>
        <v>0.7587879840082563</v>
      </c>
      <c r="E4" s="30">
        <v>17650</v>
      </c>
      <c r="F4" s="47">
        <f>E4/Hauptstelle!$E$50*100</f>
        <v>1.7023780243734237</v>
      </c>
      <c r="G4" s="19">
        <v>11.21</v>
      </c>
      <c r="H4" s="20">
        <f t="shared" si="0"/>
        <v>2.2435490021609255</v>
      </c>
      <c r="I4" s="21">
        <f t="shared" si="1"/>
        <v>82.78921313410798</v>
      </c>
      <c r="J4" s="22">
        <v>60</v>
      </c>
      <c r="K4" s="23">
        <f t="shared" si="10"/>
        <v>4.866666666666666</v>
      </c>
      <c r="L4" s="24">
        <f t="shared" si="2"/>
        <v>6940.338379205464</v>
      </c>
      <c r="M4" s="25">
        <f t="shared" si="3"/>
        <v>-926.6616207945362</v>
      </c>
      <c r="N4" s="26">
        <f>ROUND(V4*Hauptstelle!$J$54,Hauptstelle!W51)</f>
        <v>1700</v>
      </c>
      <c r="O4" s="27">
        <f t="shared" si="4"/>
        <v>3626.7123287671234</v>
      </c>
      <c r="P4" s="24">
        <f t="shared" si="5"/>
        <v>0</v>
      </c>
      <c r="Q4" s="24">
        <f>(P4*(1/Hauptstelle!$J$52))+((L4/100)*Hauptstelle!$J$53)</f>
        <v>347.0169189602732</v>
      </c>
      <c r="R4" s="28">
        <f t="shared" si="6"/>
        <v>3890.0596615446625</v>
      </c>
      <c r="S4" s="29">
        <f>R4/Hauptstelle!$R$47</f>
        <v>0.01794965749812073</v>
      </c>
      <c r="T4" s="28">
        <f t="shared" si="7"/>
        <v>197856.50000000003</v>
      </c>
      <c r="U4" s="29">
        <f>T4/Hauptstelle!$T$47</f>
        <v>0.015200964507365381</v>
      </c>
      <c r="V4" s="29">
        <f t="shared" si="8"/>
        <v>0.016575311002743055</v>
      </c>
      <c r="W4" s="16">
        <f t="shared" si="9"/>
        <v>494200</v>
      </c>
    </row>
    <row r="5" spans="1:23" ht="9">
      <c r="A5" s="134" t="s">
        <v>112</v>
      </c>
      <c r="B5" s="30">
        <v>28</v>
      </c>
      <c r="C5" s="30">
        <v>986</v>
      </c>
      <c r="D5" s="47">
        <f>C5/Hauptstelle!$E$50*100</f>
        <v>0.09510168453440201</v>
      </c>
      <c r="E5" s="30">
        <v>456</v>
      </c>
      <c r="F5" s="47">
        <f>E5/Hauptstelle!$E$50*100</f>
        <v>0.04398211779684313</v>
      </c>
      <c r="G5" s="19">
        <v>13.61</v>
      </c>
      <c r="H5" s="20">
        <f t="shared" si="0"/>
        <v>0.46247464503042596</v>
      </c>
      <c r="I5" s="21">
        <f t="shared" si="1"/>
        <v>96.45224929839674</v>
      </c>
      <c r="J5" s="22">
        <v>52</v>
      </c>
      <c r="K5" s="23">
        <f t="shared" si="10"/>
        <v>5.84</v>
      </c>
      <c r="L5" s="24">
        <f t="shared" si="2"/>
        <v>149.42371581292215</v>
      </c>
      <c r="M5" s="25">
        <f t="shared" si="3"/>
        <v>-836.5762841870778</v>
      </c>
      <c r="N5" s="26">
        <f>ROUND(V5*Hauptstelle!$J$54,Hauptstelle!W51)</f>
        <v>0</v>
      </c>
      <c r="O5" s="27">
        <f t="shared" si="4"/>
        <v>78.08219178082192</v>
      </c>
      <c r="P5" s="24">
        <f t="shared" si="5"/>
        <v>0</v>
      </c>
      <c r="Q5" s="24">
        <f>(P5*(1/Hauptstelle!$J$52))+((L5/100)*Hauptstelle!$J$53)</f>
        <v>7.471185790646108</v>
      </c>
      <c r="R5" s="28">
        <f t="shared" si="6"/>
        <v>101.68283861069352</v>
      </c>
      <c r="S5" s="29">
        <f>R5/Hauptstelle!$R$47</f>
        <v>0.0004691887233868019</v>
      </c>
      <c r="T5" s="28">
        <f t="shared" si="7"/>
        <v>6206.16</v>
      </c>
      <c r="U5" s="29">
        <f>T5/Hauptstelle!$T$47</f>
        <v>0.00047680828219962815</v>
      </c>
      <c r="V5" s="29">
        <f t="shared" si="8"/>
        <v>0.000472998502793215</v>
      </c>
      <c r="W5" s="16">
        <f t="shared" si="9"/>
        <v>12768</v>
      </c>
    </row>
    <row r="6" spans="1:23" ht="9">
      <c r="A6" s="134" t="s">
        <v>3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34" t="s">
        <v>41</v>
      </c>
      <c r="B7" s="30">
        <v>28</v>
      </c>
      <c r="C7" s="30">
        <v>456</v>
      </c>
      <c r="D7" s="47">
        <f>C7/Hauptstelle!$E$50*100</f>
        <v>0.04398211779684313</v>
      </c>
      <c r="E7" s="30">
        <v>3467</v>
      </c>
      <c r="F7" s="47">
        <f>E7/Hauptstelle!$E$50*100</f>
        <v>0.3343991280738051</v>
      </c>
      <c r="G7" s="19">
        <v>19.4</v>
      </c>
      <c r="H7" s="20">
        <f t="shared" si="0"/>
        <v>7.603070175438597</v>
      </c>
      <c r="I7" s="21">
        <f t="shared" si="1"/>
        <v>41.67507810622446</v>
      </c>
      <c r="J7" s="22">
        <v>50</v>
      </c>
      <c r="K7" s="23">
        <f t="shared" si="10"/>
        <v>6.083333333333333</v>
      </c>
      <c r="L7" s="24">
        <f t="shared" si="2"/>
        <v>1090.6358373124235</v>
      </c>
      <c r="M7" s="25">
        <f t="shared" si="3"/>
        <v>634.6358373124235</v>
      </c>
      <c r="N7" s="26">
        <f>ROUND(V7*Hauptstelle!$J$54,Hauptstelle!W51)</f>
        <v>800</v>
      </c>
      <c r="O7" s="27">
        <f t="shared" si="4"/>
        <v>569.9178082191781</v>
      </c>
      <c r="P7" s="24">
        <f t="shared" si="5"/>
        <v>634.6358373124235</v>
      </c>
      <c r="Q7" s="24">
        <f>(P7*(1/Hauptstelle!$J$52))+((L7/100)*Hauptstelle!$J$53)</f>
        <v>117.99537559686352</v>
      </c>
      <c r="R7" s="28">
        <f t="shared" si="6"/>
        <v>2289.110286579152</v>
      </c>
      <c r="S7" s="29">
        <f>R7/Hauptstelle!$R$47</f>
        <v>0.01056249754359944</v>
      </c>
      <c r="T7" s="28">
        <f t="shared" si="7"/>
        <v>67259.79999999999</v>
      </c>
      <c r="U7" s="29">
        <f>T7/Hauptstelle!$T$47</f>
        <v>0.005167451322410402</v>
      </c>
      <c r="V7" s="29">
        <f t="shared" si="8"/>
        <v>0.00786497443300492</v>
      </c>
      <c r="W7" s="16">
        <f t="shared" si="9"/>
        <v>97076</v>
      </c>
    </row>
    <row r="8" spans="1:23" ht="9">
      <c r="A8" s="134" t="s">
        <v>42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25.8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34" t="s">
        <v>43</v>
      </c>
      <c r="B9" s="30">
        <v>28</v>
      </c>
      <c r="C9" s="30">
        <v>563</v>
      </c>
      <c r="D9" s="47">
        <f>C9/Hauptstelle!$E$50*100</f>
        <v>0.05430248315706728</v>
      </c>
      <c r="E9" s="30">
        <v>3214</v>
      </c>
      <c r="F9" s="47">
        <f>E9/Hauptstelle!$E$50*100</f>
        <v>0.30999676885757416</v>
      </c>
      <c r="G9" s="19">
        <v>13.5</v>
      </c>
      <c r="H9" s="20">
        <f t="shared" si="0"/>
        <v>5.708703374777975</v>
      </c>
      <c r="I9" s="21">
        <f t="shared" si="1"/>
        <v>56.20720698800458</v>
      </c>
      <c r="J9" s="22">
        <v>47</v>
      </c>
      <c r="K9" s="23">
        <f t="shared" si="10"/>
        <v>6.448333333333333</v>
      </c>
      <c r="L9" s="24">
        <f t="shared" si="2"/>
        <v>953.8189128554753</v>
      </c>
      <c r="M9" s="25">
        <f t="shared" si="3"/>
        <v>390.81891285547533</v>
      </c>
      <c r="N9" s="26">
        <f>ROUND(V9*Hauptstelle!$J$54,Hauptstelle!W51)</f>
        <v>400</v>
      </c>
      <c r="O9" s="27">
        <f t="shared" si="4"/>
        <v>498.42336521064874</v>
      </c>
      <c r="P9" s="24">
        <f t="shared" si="5"/>
        <v>390.81891285547533</v>
      </c>
      <c r="Q9" s="24">
        <f>(P9*(1/Hauptstelle!$J$52))+((L9/100)*Hauptstelle!$J$53)</f>
        <v>86.77283692832131</v>
      </c>
      <c r="R9" s="28">
        <f t="shared" si="6"/>
        <v>1171.4332985323376</v>
      </c>
      <c r="S9" s="29">
        <f>R9/Hauptstelle!$R$47</f>
        <v>0.005405270952116953</v>
      </c>
      <c r="T9" s="28">
        <f t="shared" si="7"/>
        <v>43389</v>
      </c>
      <c r="U9" s="29">
        <f>T9/Hauptstelle!$T$47</f>
        <v>0.0033335000316394785</v>
      </c>
      <c r="V9" s="29">
        <f t="shared" si="8"/>
        <v>0.004369385491878216</v>
      </c>
      <c r="W9" s="16">
        <f t="shared" si="9"/>
        <v>89992</v>
      </c>
    </row>
    <row r="10" spans="1:23" ht="9">
      <c r="A10" s="134" t="s">
        <v>44</v>
      </c>
      <c r="B10" s="30">
        <v>28</v>
      </c>
      <c r="C10" s="30">
        <v>474</v>
      </c>
      <c r="D10" s="47">
        <f>C10/Hauptstelle!$E$50*100</f>
        <v>0.04571825402566588</v>
      </c>
      <c r="E10" s="30">
        <v>2983</v>
      </c>
      <c r="F10" s="47">
        <f>E10/Hauptstelle!$E$50*100</f>
        <v>0.28771635392101547</v>
      </c>
      <c r="G10" s="19">
        <v>13.95</v>
      </c>
      <c r="H10" s="20">
        <f t="shared" si="0"/>
        <v>6.293248945147679</v>
      </c>
      <c r="I10" s="21">
        <f t="shared" si="1"/>
        <v>51.72302179064794</v>
      </c>
      <c r="J10" s="22">
        <v>50</v>
      </c>
      <c r="K10" s="23">
        <f t="shared" si="10"/>
        <v>6.083333333333333</v>
      </c>
      <c r="L10" s="24">
        <f t="shared" si="2"/>
        <v>938.3809353051513</v>
      </c>
      <c r="M10" s="25">
        <f t="shared" si="3"/>
        <v>464.3809353051513</v>
      </c>
      <c r="N10" s="26">
        <f>ROUND(V10*Hauptstelle!$J$54,Hauptstelle!W51)</f>
        <v>500</v>
      </c>
      <c r="O10" s="27">
        <f t="shared" si="4"/>
        <v>490.3561643835617</v>
      </c>
      <c r="P10" s="24">
        <f t="shared" si="5"/>
        <v>464.3809353051513</v>
      </c>
      <c r="Q10" s="24">
        <f>(P10*(1/Hauptstelle!$J$52))+((L10/100)*Hauptstelle!$J$53)</f>
        <v>93.3571402957727</v>
      </c>
      <c r="R10" s="28">
        <f t="shared" si="6"/>
        <v>1302.332107126029</v>
      </c>
      <c r="S10" s="29">
        <f>R10/Hauptstelle!$R$47</f>
        <v>0.006009269087260169</v>
      </c>
      <c r="T10" s="28">
        <f t="shared" si="7"/>
        <v>41612.85</v>
      </c>
      <c r="U10" s="29">
        <f>T10/Hauptstelle!$T$47</f>
        <v>0.0031970415725554604</v>
      </c>
      <c r="V10" s="29">
        <f t="shared" si="8"/>
        <v>0.004603155329907815</v>
      </c>
      <c r="W10" s="16">
        <f t="shared" si="9"/>
        <v>83524</v>
      </c>
    </row>
    <row r="11" spans="1:23" ht="9">
      <c r="A11" s="134" t="s">
        <v>45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25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34" t="s">
        <v>46</v>
      </c>
      <c r="B12" s="30">
        <v>28</v>
      </c>
      <c r="C12" s="30">
        <v>893</v>
      </c>
      <c r="D12" s="47">
        <f>C12/Hauptstelle!$E$50*100</f>
        <v>0.08613164735215112</v>
      </c>
      <c r="E12" s="30">
        <v>7283</v>
      </c>
      <c r="F12" s="47">
        <f>E12/Hauptstelle!$E$50*100</f>
        <v>0.7024600085842292</v>
      </c>
      <c r="G12" s="19">
        <v>9.45</v>
      </c>
      <c r="H12" s="20">
        <f t="shared" si="0"/>
        <v>8.15565509518477</v>
      </c>
      <c r="I12" s="21">
        <f t="shared" si="1"/>
        <v>37.436070502692175</v>
      </c>
      <c r="J12" s="22">
        <v>47</v>
      </c>
      <c r="K12" s="23">
        <f t="shared" si="10"/>
        <v>6.448333333333333</v>
      </c>
      <c r="L12" s="24">
        <f t="shared" si="2"/>
        <v>2161.376211053649</v>
      </c>
      <c r="M12" s="25">
        <f t="shared" si="3"/>
        <v>1268.376211053649</v>
      </c>
      <c r="N12" s="26">
        <f>ROUND(V12*Hauptstelle!$J$54,Hauptstelle!W51)</f>
        <v>800</v>
      </c>
      <c r="O12" s="27">
        <f t="shared" si="4"/>
        <v>1129.4391315585424</v>
      </c>
      <c r="P12" s="24">
        <f t="shared" si="5"/>
        <v>1268.376211053649</v>
      </c>
      <c r="Q12" s="24">
        <f>(P12*(1/Hauptstelle!$J$52))+((L12/100)*Hauptstelle!$J$53)</f>
        <v>234.90643165804738</v>
      </c>
      <c r="R12" s="28">
        <f t="shared" si="6"/>
        <v>2219.8657791685478</v>
      </c>
      <c r="S12" s="29">
        <f>R12/Hauptstelle!$R$47</f>
        <v>0.010242986970552625</v>
      </c>
      <c r="T12" s="28">
        <f t="shared" si="7"/>
        <v>68824.34999999999</v>
      </c>
      <c r="U12" s="29">
        <f>T12/Hauptstelle!$T$47</f>
        <v>0.0052876529282206665</v>
      </c>
      <c r="V12" s="29">
        <f t="shared" si="8"/>
        <v>0.007765319949386645</v>
      </c>
      <c r="W12" s="16">
        <f t="shared" si="9"/>
        <v>203924</v>
      </c>
    </row>
    <row r="13" spans="1:23" ht="9">
      <c r="A13" s="134" t="s">
        <v>47</v>
      </c>
      <c r="B13" s="30">
        <v>28</v>
      </c>
      <c r="C13" s="30">
        <v>120</v>
      </c>
      <c r="D13" s="47">
        <f>C13/Hauptstelle!$E$50*100</f>
        <v>0.011574241525485033</v>
      </c>
      <c r="E13" s="30">
        <v>493</v>
      </c>
      <c r="F13" s="47">
        <f>E13/Hauptstelle!$E$50*100</f>
        <v>0.04755084226720101</v>
      </c>
      <c r="G13" s="19">
        <v>30</v>
      </c>
      <c r="H13" s="20">
        <f t="shared" si="0"/>
        <v>4.108333333333333</v>
      </c>
      <c r="I13" s="21">
        <f t="shared" si="1"/>
        <v>68.48401826484019</v>
      </c>
      <c r="J13" s="22">
        <v>73</v>
      </c>
      <c r="K13" s="23">
        <f t="shared" si="10"/>
        <v>3.285</v>
      </c>
      <c r="L13" s="24">
        <f t="shared" si="2"/>
        <v>287.19645963263406</v>
      </c>
      <c r="M13" s="25">
        <f t="shared" si="3"/>
        <v>167.19645963263406</v>
      </c>
      <c r="N13" s="26">
        <f>ROUND(V13*Hauptstelle!$J$54,Hauptstelle!W51)</f>
        <v>300</v>
      </c>
      <c r="O13" s="27">
        <f t="shared" si="4"/>
        <v>150.07610350076104</v>
      </c>
      <c r="P13" s="24">
        <f t="shared" si="5"/>
        <v>167.19645963263406</v>
      </c>
      <c r="Q13" s="24">
        <f>(P13*(1/Hauptstelle!$J$52))+((L13/100)*Hauptstelle!$J$53)</f>
        <v>31.07946894489511</v>
      </c>
      <c r="R13" s="28">
        <f t="shared" si="6"/>
        <v>932.3840683468533</v>
      </c>
      <c r="S13" s="29">
        <f>R13/Hauptstelle!$R$47</f>
        <v>0.004302241132436744</v>
      </c>
      <c r="T13" s="28">
        <f t="shared" si="7"/>
        <v>14790</v>
      </c>
      <c r="U13" s="29">
        <f>T13/Hauptstelle!$T$47</f>
        <v>0.001136289508122978</v>
      </c>
      <c r="V13" s="29">
        <f t="shared" si="8"/>
        <v>0.002719265320279861</v>
      </c>
      <c r="W13" s="16">
        <f t="shared" si="9"/>
        <v>13804</v>
      </c>
    </row>
    <row r="14" spans="1:23" ht="9">
      <c r="A14" s="134" t="s">
        <v>48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34" t="s">
        <v>49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55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34" t="s">
        <v>50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34" t="s">
        <v>4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34" t="s">
        <v>51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25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34" t="s">
        <v>53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22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34" t="s">
        <v>54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24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34" t="s">
        <v>52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21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34" t="s">
        <v>55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13.5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34" t="s">
        <v>56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18.9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34" t="s">
        <v>5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34" t="s">
        <v>57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34" t="s">
        <v>58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34" t="s">
        <v>113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9.09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34" t="s">
        <v>114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7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34" t="s">
        <v>115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3.5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34" t="s">
        <v>116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7.778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34" t="s">
        <v>117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34" t="s">
        <v>118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11.25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34" t="s">
        <v>119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10.71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34" t="s">
        <v>120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20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34" t="s">
        <v>121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10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34" t="s">
        <v>122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10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6</v>
      </c>
      <c r="B37" s="32">
        <f>IF(E37=0,SUM(B2:B36)/35,W37/E37)</f>
        <v>28</v>
      </c>
      <c r="C37" s="32">
        <f>SUM(C2:C36)</f>
        <v>23551</v>
      </c>
      <c r="D37" s="32"/>
      <c r="E37" s="32">
        <f>SUM(E2:E36)</f>
        <v>56396</v>
      </c>
      <c r="F37" s="32"/>
      <c r="G37" s="94"/>
      <c r="H37" s="34">
        <f>E37/C37</f>
        <v>2.394632924291962</v>
      </c>
      <c r="I37" s="95">
        <f t="shared" si="1"/>
        <v>81.63021318351372</v>
      </c>
      <c r="J37" s="96"/>
      <c r="K37" s="96"/>
      <c r="L37" s="32">
        <f>SUM(L2:L36)</f>
        <v>23551</v>
      </c>
      <c r="M37" s="97"/>
      <c r="N37" s="38">
        <f>SUM(N2:N36)</f>
        <v>8100</v>
      </c>
      <c r="O37" s="39">
        <f>SUM(O2:O36)</f>
        <v>12306.705723557623</v>
      </c>
      <c r="P37" s="40"/>
      <c r="Q37" s="41">
        <f>SUM(P2:P36)</f>
        <v>3780.9332324928982</v>
      </c>
      <c r="R37" s="42">
        <f>SUM(R2:R36)</f>
        <v>22175.07285853095</v>
      </c>
      <c r="S37" s="43"/>
      <c r="T37" s="42">
        <f>SUM(T2:T36)</f>
        <v>767675.6599999999</v>
      </c>
      <c r="U37" s="43"/>
      <c r="V37" s="43"/>
      <c r="W37" s="16">
        <f>SUM(W2:W36)</f>
        <v>1579088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2" sqref="G2:G36"/>
    </sheetView>
  </sheetViews>
  <sheetFormatPr defaultColWidth="11.421875" defaultRowHeight="12.75"/>
  <cols>
    <col min="1" max="1" width="19.00390625" style="93" customWidth="1"/>
    <col min="2" max="2" width="6.28125" style="93" customWidth="1"/>
    <col min="3" max="3" width="6.7109375" style="93" bestFit="1" customWidth="1"/>
    <col min="4" max="4" width="7.00390625" style="93" bestFit="1" customWidth="1"/>
    <col min="5" max="5" width="7.8515625" style="93" bestFit="1" customWidth="1"/>
    <col min="6" max="6" width="7.00390625" style="93" bestFit="1" customWidth="1"/>
    <col min="7" max="7" width="7.140625" style="93" bestFit="1" customWidth="1"/>
    <col min="8" max="8" width="6.140625" style="93" bestFit="1" customWidth="1"/>
    <col min="9" max="9" width="8.140625" style="93" bestFit="1" customWidth="1"/>
    <col min="10" max="10" width="12.28125" style="93" bestFit="1" customWidth="1"/>
    <col min="11" max="11" width="6.140625" style="93" bestFit="1" customWidth="1"/>
    <col min="12" max="12" width="6.7109375" style="93" bestFit="1" customWidth="1"/>
    <col min="13" max="13" width="5.7109375" style="93" bestFit="1" customWidth="1"/>
    <col min="14" max="14" width="14.28125" style="93" bestFit="1" customWidth="1"/>
    <col min="15" max="22" width="13.57421875" style="93" bestFit="1" customWidth="1"/>
    <col min="23" max="23" width="12.8515625" style="93" customWidth="1"/>
    <col min="24" max="16384" width="11.421875" style="93" customWidth="1"/>
  </cols>
  <sheetData>
    <row r="1" spans="1:23" ht="27">
      <c r="A1" s="1" t="s">
        <v>10</v>
      </c>
      <c r="B1" s="91" t="s">
        <v>96</v>
      </c>
      <c r="C1" s="2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92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34" t="s">
        <v>0</v>
      </c>
      <c r="B2" s="30">
        <v>28</v>
      </c>
      <c r="C2" s="30">
        <v>2134</v>
      </c>
      <c r="D2" s="16">
        <f aca="true" t="shared" si="0" ref="D2:D22">C2/$C$37*100</f>
        <v>19.327959423965222</v>
      </c>
      <c r="E2" s="30">
        <v>9845</v>
      </c>
      <c r="F2" s="47">
        <f>E2/Hauptstelle!$E$50*100</f>
        <v>0.9495700651533345</v>
      </c>
      <c r="G2" s="19">
        <v>16.84</v>
      </c>
      <c r="H2" s="20">
        <f aca="true" t="shared" si="1" ref="H2:H36">E2/C2</f>
        <v>4.61340206185567</v>
      </c>
      <c r="I2" s="21">
        <f aca="true" t="shared" si="2" ref="I2:I37">((365-(H2*B2))*100)/365</f>
        <v>64.60951842960034</v>
      </c>
      <c r="J2" s="22">
        <v>78</v>
      </c>
      <c r="K2" s="23">
        <f>((100-J2)*365)/(100*30)</f>
        <v>2.6766666666666667</v>
      </c>
      <c r="L2" s="24">
        <f aca="true" t="shared" si="3" ref="L2:L36">IF($O$37=0,"0",(O2/$O$37)*$C$37)</f>
        <v>4147.5308788138655</v>
      </c>
      <c r="M2" s="25">
        <f aca="true" t="shared" si="4" ref="M2:M36">L2-C2</f>
        <v>2013.5308788138655</v>
      </c>
      <c r="N2" s="26">
        <f>ROUND(V2*Hauptstelle!$J$54,-2)</f>
        <v>2200</v>
      </c>
      <c r="O2" s="27">
        <f aca="true" t="shared" si="5" ref="O2:O36">E2/K2</f>
        <v>3678.0821917808216</v>
      </c>
      <c r="P2" s="24">
        <f aca="true" t="shared" si="6" ref="P2:P36">IF(M2&lt;0,0,M2)</f>
        <v>2013.5308788138655</v>
      </c>
      <c r="Q2" s="24">
        <f>(P2*(1/Hauptstelle!$J$52))+((L2/100)*Hauptstelle!$J$53)</f>
        <v>408.7296318220798</v>
      </c>
      <c r="R2" s="28">
        <f aca="true" t="shared" si="7" ref="R2:R36">Q2*G2</f>
        <v>6883.0069998838235</v>
      </c>
      <c r="S2" s="29">
        <f>R2/Hauptstelle!$R$47</f>
        <v>0.03175982605778954</v>
      </c>
      <c r="T2" s="28">
        <f aca="true" t="shared" si="8" ref="T2:T36">E2*G2</f>
        <v>165789.8</v>
      </c>
      <c r="U2" s="29">
        <f>T2/Hauptstelle!$T$47</f>
        <v>0.01273733673386118</v>
      </c>
      <c r="V2" s="29">
        <f aca="true" t="shared" si="9" ref="V2:V36">(S2+U2)/2</f>
        <v>0.022248581395825362</v>
      </c>
      <c r="W2" s="16">
        <f aca="true" t="shared" si="10" ref="W2:W36">B2*E2</f>
        <v>275660</v>
      </c>
    </row>
    <row r="3" spans="1:23" ht="9">
      <c r="A3" s="134" t="s">
        <v>1</v>
      </c>
      <c r="B3" s="30">
        <v>28</v>
      </c>
      <c r="C3" s="30">
        <v>2873</v>
      </c>
      <c r="D3" s="16">
        <f t="shared" si="0"/>
        <v>26.02119373245177</v>
      </c>
      <c r="E3" s="30">
        <v>8792</v>
      </c>
      <c r="F3" s="47">
        <f>E3/Hauptstelle!$E$50*100</f>
        <v>0.8480060957672034</v>
      </c>
      <c r="G3" s="19">
        <v>14.9</v>
      </c>
      <c r="H3" s="20">
        <f t="shared" si="1"/>
        <v>3.0602158022972503</v>
      </c>
      <c r="I3" s="21">
        <f t="shared" si="2"/>
        <v>76.52437192758273</v>
      </c>
      <c r="J3" s="22">
        <v>60</v>
      </c>
      <c r="K3" s="23">
        <f aca="true" t="shared" si="11" ref="K3:K36">((100-J3)*365)/(100*30)</f>
        <v>4.866666666666666</v>
      </c>
      <c r="L3" s="24">
        <f t="shared" si="3"/>
        <v>2037.1559489682409</v>
      </c>
      <c r="M3" s="25">
        <f t="shared" si="4"/>
        <v>-835.8440510317591</v>
      </c>
      <c r="N3" s="26">
        <f>ROUND(V3*Hauptstelle!$J$54,-2)</f>
        <v>900</v>
      </c>
      <c r="O3" s="27">
        <f t="shared" si="5"/>
        <v>1806.5753424657535</v>
      </c>
      <c r="P3" s="24">
        <f t="shared" si="6"/>
        <v>0</v>
      </c>
      <c r="Q3" s="24">
        <f>(P3*(1/Hauptstelle!$J$52))+((L3/100)*Hauptstelle!$J$53)</f>
        <v>101.85779744841204</v>
      </c>
      <c r="R3" s="28">
        <f t="shared" si="7"/>
        <v>1517.6811819813395</v>
      </c>
      <c r="S3" s="29">
        <f>R3/Hauptstelle!$R$47</f>
        <v>0.0070029407716309675</v>
      </c>
      <c r="T3" s="28">
        <f t="shared" si="8"/>
        <v>131000.8</v>
      </c>
      <c r="U3" s="29">
        <f>T3/Hauptstelle!$T$47</f>
        <v>0.010064559472327018</v>
      </c>
      <c r="V3" s="29">
        <f t="shared" si="9"/>
        <v>0.008533750121978993</v>
      </c>
      <c r="W3" s="16">
        <f t="shared" si="10"/>
        <v>246176</v>
      </c>
    </row>
    <row r="4" spans="1:23" ht="9">
      <c r="A4" s="134" t="s">
        <v>2</v>
      </c>
      <c r="B4" s="30">
        <v>28</v>
      </c>
      <c r="C4" s="30">
        <v>4587</v>
      </c>
      <c r="D4" s="16">
        <f t="shared" si="0"/>
        <v>41.54514989584277</v>
      </c>
      <c r="E4" s="30">
        <v>16753</v>
      </c>
      <c r="F4" s="47">
        <f>E4/Hauptstelle!$E$50*100</f>
        <v>1.615860568970423</v>
      </c>
      <c r="G4" s="19">
        <v>11.21</v>
      </c>
      <c r="H4" s="20">
        <f t="shared" si="1"/>
        <v>3.6522781774580335</v>
      </c>
      <c r="I4" s="21">
        <f t="shared" si="2"/>
        <v>71.98252357018494</v>
      </c>
      <c r="J4" s="22">
        <v>60</v>
      </c>
      <c r="K4" s="23">
        <f t="shared" si="11"/>
        <v>4.866666666666666</v>
      </c>
      <c r="L4" s="24">
        <f t="shared" si="3"/>
        <v>3881.764514679816</v>
      </c>
      <c r="M4" s="25">
        <f t="shared" si="4"/>
        <v>-705.2354853201841</v>
      </c>
      <c r="N4" s="26">
        <f>ROUND(V4*Hauptstelle!$J$54,-2)</f>
        <v>1200</v>
      </c>
      <c r="O4" s="27">
        <f t="shared" si="5"/>
        <v>3442.3972602739727</v>
      </c>
      <c r="P4" s="24">
        <f t="shared" si="6"/>
        <v>0</v>
      </c>
      <c r="Q4" s="24">
        <f>(P4*(1/Hauptstelle!$J$52))+((L4/100)*Hauptstelle!$J$53)</f>
        <v>194.08822573399078</v>
      </c>
      <c r="R4" s="28">
        <f t="shared" si="7"/>
        <v>2175.729010478037</v>
      </c>
      <c r="S4" s="29">
        <f>R4/Hauptstelle!$R$47</f>
        <v>0.010039329456273303</v>
      </c>
      <c r="T4" s="28">
        <f t="shared" si="8"/>
        <v>187801.13</v>
      </c>
      <c r="U4" s="29">
        <f>T4/Hauptstelle!$T$47</f>
        <v>0.014428428237500976</v>
      </c>
      <c r="V4" s="29">
        <f t="shared" si="9"/>
        <v>0.01223387884688714</v>
      </c>
      <c r="W4" s="16">
        <f t="shared" si="10"/>
        <v>469084</v>
      </c>
    </row>
    <row r="5" spans="1:23" ht="9">
      <c r="A5" s="134" t="s">
        <v>112</v>
      </c>
      <c r="B5" s="30">
        <v>28</v>
      </c>
      <c r="C5" s="30"/>
      <c r="D5" s="16">
        <f t="shared" si="0"/>
        <v>0</v>
      </c>
      <c r="E5" s="30"/>
      <c r="F5" s="47">
        <f>E5/Hauptstelle!$E$50*100</f>
        <v>0</v>
      </c>
      <c r="G5" s="19">
        <v>13.61</v>
      </c>
      <c r="H5" s="20" t="e">
        <f t="shared" si="1"/>
        <v>#DIV/0!</v>
      </c>
      <c r="I5" s="21" t="e">
        <f t="shared" si="2"/>
        <v>#DIV/0!</v>
      </c>
      <c r="J5" s="22">
        <v>52</v>
      </c>
      <c r="K5" s="23">
        <f t="shared" si="11"/>
        <v>5.84</v>
      </c>
      <c r="L5" s="24">
        <f t="shared" si="3"/>
        <v>0</v>
      </c>
      <c r="M5" s="25">
        <f t="shared" si="4"/>
        <v>0</v>
      </c>
      <c r="N5" s="26">
        <f>ROUND(V5*Hauptstelle!$J$54,-2)</f>
        <v>0</v>
      </c>
      <c r="O5" s="27">
        <f t="shared" si="5"/>
        <v>0</v>
      </c>
      <c r="P5" s="24">
        <f t="shared" si="6"/>
        <v>0</v>
      </c>
      <c r="Q5" s="24">
        <f>(P5*(1/Hauptstelle!$J$52))+((L5/100)*Hauptstelle!$J$53)</f>
        <v>0</v>
      </c>
      <c r="R5" s="28">
        <f t="shared" si="7"/>
        <v>0</v>
      </c>
      <c r="S5" s="29">
        <f>R5/Hauptstelle!$R$47</f>
        <v>0</v>
      </c>
      <c r="T5" s="28">
        <f t="shared" si="8"/>
        <v>0</v>
      </c>
      <c r="U5" s="29">
        <f>T5/Hauptstelle!$T$47</f>
        <v>0</v>
      </c>
      <c r="V5" s="29">
        <f t="shared" si="9"/>
        <v>0</v>
      </c>
      <c r="W5" s="16">
        <f t="shared" si="10"/>
        <v>0</v>
      </c>
    </row>
    <row r="6" spans="1:23" ht="9">
      <c r="A6" s="134" t="s">
        <v>3</v>
      </c>
      <c r="B6" s="30">
        <v>28</v>
      </c>
      <c r="C6" s="30"/>
      <c r="D6" s="16">
        <f t="shared" si="0"/>
        <v>0</v>
      </c>
      <c r="E6" s="30"/>
      <c r="F6" s="47">
        <f>E6/Hauptstelle!$E$50*100</f>
        <v>0</v>
      </c>
      <c r="G6" s="19">
        <v>51.13</v>
      </c>
      <c r="H6" s="20" t="e">
        <f t="shared" si="1"/>
        <v>#DIV/0!</v>
      </c>
      <c r="I6" s="21" t="e">
        <f t="shared" si="2"/>
        <v>#DIV/0!</v>
      </c>
      <c r="J6" s="22">
        <v>73</v>
      </c>
      <c r="K6" s="23">
        <f t="shared" si="11"/>
        <v>3.285</v>
      </c>
      <c r="L6" s="24">
        <f t="shared" si="3"/>
        <v>0</v>
      </c>
      <c r="M6" s="25">
        <f t="shared" si="4"/>
        <v>0</v>
      </c>
      <c r="N6" s="26">
        <f>ROUND(V6*Hauptstelle!$J$54,-2)</f>
        <v>0</v>
      </c>
      <c r="O6" s="27">
        <f t="shared" si="5"/>
        <v>0</v>
      </c>
      <c r="P6" s="24">
        <f t="shared" si="6"/>
        <v>0</v>
      </c>
      <c r="Q6" s="24">
        <f>(P6*(1/Hauptstelle!$J$52))+((L6/100)*Hauptstelle!$J$53)</f>
        <v>0</v>
      </c>
      <c r="R6" s="28">
        <f t="shared" si="7"/>
        <v>0</v>
      </c>
      <c r="S6" s="29">
        <f>R6/Hauptstelle!$R$47</f>
        <v>0</v>
      </c>
      <c r="T6" s="28">
        <f t="shared" si="8"/>
        <v>0</v>
      </c>
      <c r="U6" s="29">
        <f>T6/Hauptstelle!$T$47</f>
        <v>0</v>
      </c>
      <c r="V6" s="29">
        <f t="shared" si="9"/>
        <v>0</v>
      </c>
      <c r="W6" s="16">
        <f t="shared" si="10"/>
        <v>0</v>
      </c>
    </row>
    <row r="7" spans="1:23" ht="9">
      <c r="A7" s="134" t="s">
        <v>41</v>
      </c>
      <c r="B7" s="30">
        <v>28</v>
      </c>
      <c r="C7" s="30"/>
      <c r="D7" s="16">
        <f t="shared" si="0"/>
        <v>0</v>
      </c>
      <c r="E7" s="30"/>
      <c r="F7" s="47">
        <f>E7/Hauptstelle!$E$50*100</f>
        <v>0</v>
      </c>
      <c r="G7" s="19">
        <v>19.4</v>
      </c>
      <c r="H7" s="20" t="e">
        <f t="shared" si="1"/>
        <v>#DIV/0!</v>
      </c>
      <c r="I7" s="21" t="e">
        <f t="shared" si="2"/>
        <v>#DIV/0!</v>
      </c>
      <c r="J7" s="22">
        <v>50</v>
      </c>
      <c r="K7" s="23">
        <f t="shared" si="11"/>
        <v>6.083333333333333</v>
      </c>
      <c r="L7" s="24">
        <f t="shared" si="3"/>
        <v>0</v>
      </c>
      <c r="M7" s="25">
        <f t="shared" si="4"/>
        <v>0</v>
      </c>
      <c r="N7" s="26">
        <f>ROUND(V7*Hauptstelle!$J$54,-2)</f>
        <v>0</v>
      </c>
      <c r="O7" s="27">
        <f t="shared" si="5"/>
        <v>0</v>
      </c>
      <c r="P7" s="24">
        <f t="shared" si="6"/>
        <v>0</v>
      </c>
      <c r="Q7" s="24">
        <f>(P7*(1/Hauptstelle!$J$52))+((L7/100)*Hauptstelle!$J$53)</f>
        <v>0</v>
      </c>
      <c r="R7" s="28">
        <f t="shared" si="7"/>
        <v>0</v>
      </c>
      <c r="S7" s="29">
        <f>R7/Hauptstelle!$R$47</f>
        <v>0</v>
      </c>
      <c r="T7" s="28">
        <f t="shared" si="8"/>
        <v>0</v>
      </c>
      <c r="U7" s="29">
        <f>T7/Hauptstelle!$T$47</f>
        <v>0</v>
      </c>
      <c r="V7" s="29">
        <f t="shared" si="9"/>
        <v>0</v>
      </c>
      <c r="W7" s="16">
        <f t="shared" si="10"/>
        <v>0</v>
      </c>
    </row>
    <row r="8" spans="1:23" ht="9">
      <c r="A8" s="134" t="s">
        <v>42</v>
      </c>
      <c r="B8" s="30">
        <v>28</v>
      </c>
      <c r="C8" s="30"/>
      <c r="D8" s="16">
        <f t="shared" si="0"/>
        <v>0</v>
      </c>
      <c r="E8" s="30"/>
      <c r="F8" s="47">
        <f>E8/Hauptstelle!$E$50*100</f>
        <v>0</v>
      </c>
      <c r="G8" s="19">
        <v>25.8</v>
      </c>
      <c r="H8" s="20" t="e">
        <f t="shared" si="1"/>
        <v>#DIV/0!</v>
      </c>
      <c r="I8" s="21" t="e">
        <f t="shared" si="2"/>
        <v>#DIV/0!</v>
      </c>
      <c r="J8" s="22">
        <v>50</v>
      </c>
      <c r="K8" s="23">
        <f t="shared" si="11"/>
        <v>6.083333333333333</v>
      </c>
      <c r="L8" s="24">
        <f t="shared" si="3"/>
        <v>0</v>
      </c>
      <c r="M8" s="25">
        <f t="shared" si="4"/>
        <v>0</v>
      </c>
      <c r="N8" s="26">
        <f>ROUND(V8*Hauptstelle!$J$54,-2)</f>
        <v>0</v>
      </c>
      <c r="O8" s="27">
        <f t="shared" si="5"/>
        <v>0</v>
      </c>
      <c r="P8" s="24">
        <f t="shared" si="6"/>
        <v>0</v>
      </c>
      <c r="Q8" s="24">
        <f>(P8*(1/Hauptstelle!$J$52))+((L8/100)*Hauptstelle!$J$53)</f>
        <v>0</v>
      </c>
      <c r="R8" s="28">
        <f t="shared" si="7"/>
        <v>0</v>
      </c>
      <c r="S8" s="29">
        <f>R8/Hauptstelle!$R$47</f>
        <v>0</v>
      </c>
      <c r="T8" s="28">
        <f t="shared" si="8"/>
        <v>0</v>
      </c>
      <c r="U8" s="29">
        <f>T8/Hauptstelle!$T$47</f>
        <v>0</v>
      </c>
      <c r="V8" s="29">
        <f t="shared" si="9"/>
        <v>0</v>
      </c>
      <c r="W8" s="16">
        <f t="shared" si="10"/>
        <v>0</v>
      </c>
    </row>
    <row r="9" spans="1:23" ht="9">
      <c r="A9" s="134" t="s">
        <v>43</v>
      </c>
      <c r="B9" s="30">
        <v>28</v>
      </c>
      <c r="C9" s="30"/>
      <c r="D9" s="16">
        <f t="shared" si="0"/>
        <v>0</v>
      </c>
      <c r="E9" s="30"/>
      <c r="F9" s="47">
        <f>E9/Hauptstelle!$E$50*100</f>
        <v>0</v>
      </c>
      <c r="G9" s="19">
        <v>13.5</v>
      </c>
      <c r="H9" s="20" t="e">
        <f t="shared" si="1"/>
        <v>#DIV/0!</v>
      </c>
      <c r="I9" s="21" t="e">
        <f t="shared" si="2"/>
        <v>#DIV/0!</v>
      </c>
      <c r="J9" s="22">
        <v>47</v>
      </c>
      <c r="K9" s="23">
        <f t="shared" si="11"/>
        <v>6.448333333333333</v>
      </c>
      <c r="L9" s="24">
        <f t="shared" si="3"/>
        <v>0</v>
      </c>
      <c r="M9" s="25">
        <f t="shared" si="4"/>
        <v>0</v>
      </c>
      <c r="N9" s="26">
        <f>ROUND(V9*Hauptstelle!$J$54,-2)</f>
        <v>0</v>
      </c>
      <c r="O9" s="27">
        <f t="shared" si="5"/>
        <v>0</v>
      </c>
      <c r="P9" s="24">
        <f t="shared" si="6"/>
        <v>0</v>
      </c>
      <c r="Q9" s="24">
        <f>(P9*(1/Hauptstelle!$J$52))+((L9/100)*Hauptstelle!$J$53)</f>
        <v>0</v>
      </c>
      <c r="R9" s="28">
        <f t="shared" si="7"/>
        <v>0</v>
      </c>
      <c r="S9" s="29">
        <f>R9/Hauptstelle!$R$47</f>
        <v>0</v>
      </c>
      <c r="T9" s="28">
        <f t="shared" si="8"/>
        <v>0</v>
      </c>
      <c r="U9" s="29">
        <f>T9/Hauptstelle!$T$47</f>
        <v>0</v>
      </c>
      <c r="V9" s="29">
        <f t="shared" si="9"/>
        <v>0</v>
      </c>
      <c r="W9" s="16">
        <f t="shared" si="10"/>
        <v>0</v>
      </c>
    </row>
    <row r="10" spans="1:23" ht="9">
      <c r="A10" s="134" t="s">
        <v>44</v>
      </c>
      <c r="B10" s="30">
        <v>28</v>
      </c>
      <c r="C10" s="30"/>
      <c r="D10" s="16">
        <f t="shared" si="0"/>
        <v>0</v>
      </c>
      <c r="E10" s="30"/>
      <c r="F10" s="47">
        <f>E10/Hauptstelle!$E$50*100</f>
        <v>0</v>
      </c>
      <c r="G10" s="19">
        <v>13.95</v>
      </c>
      <c r="H10" s="20" t="e">
        <f t="shared" si="1"/>
        <v>#DIV/0!</v>
      </c>
      <c r="I10" s="21" t="e">
        <f t="shared" si="2"/>
        <v>#DIV/0!</v>
      </c>
      <c r="J10" s="22">
        <v>50</v>
      </c>
      <c r="K10" s="23">
        <f t="shared" si="11"/>
        <v>6.083333333333333</v>
      </c>
      <c r="L10" s="24">
        <f t="shared" si="3"/>
        <v>0</v>
      </c>
      <c r="M10" s="25">
        <f t="shared" si="4"/>
        <v>0</v>
      </c>
      <c r="N10" s="26">
        <f>ROUND(V10*Hauptstelle!$J$54,-2)</f>
        <v>0</v>
      </c>
      <c r="O10" s="27">
        <f t="shared" si="5"/>
        <v>0</v>
      </c>
      <c r="P10" s="24">
        <f t="shared" si="6"/>
        <v>0</v>
      </c>
      <c r="Q10" s="24">
        <f>(P10*(1/Hauptstelle!$J$52))+((L10/100)*Hauptstelle!$J$53)</f>
        <v>0</v>
      </c>
      <c r="R10" s="28">
        <f t="shared" si="7"/>
        <v>0</v>
      </c>
      <c r="S10" s="29">
        <f>R10/Hauptstelle!$R$47</f>
        <v>0</v>
      </c>
      <c r="T10" s="28">
        <f t="shared" si="8"/>
        <v>0</v>
      </c>
      <c r="U10" s="29">
        <f>T10/Hauptstelle!$T$47</f>
        <v>0</v>
      </c>
      <c r="V10" s="29">
        <f t="shared" si="9"/>
        <v>0</v>
      </c>
      <c r="W10" s="16">
        <f t="shared" si="10"/>
        <v>0</v>
      </c>
    </row>
    <row r="11" spans="1:23" ht="9">
      <c r="A11" s="134" t="s">
        <v>45</v>
      </c>
      <c r="B11" s="30">
        <v>28</v>
      </c>
      <c r="C11" s="30"/>
      <c r="D11" s="16">
        <f t="shared" si="0"/>
        <v>0</v>
      </c>
      <c r="E11" s="30"/>
      <c r="F11" s="47">
        <f>E11/Hauptstelle!$E$50*100</f>
        <v>0</v>
      </c>
      <c r="G11" s="19">
        <v>25</v>
      </c>
      <c r="H11" s="20" t="e">
        <f t="shared" si="1"/>
        <v>#DIV/0!</v>
      </c>
      <c r="I11" s="21" t="e">
        <f t="shared" si="2"/>
        <v>#DIV/0!</v>
      </c>
      <c r="J11" s="22">
        <v>50</v>
      </c>
      <c r="K11" s="23">
        <f t="shared" si="11"/>
        <v>6.083333333333333</v>
      </c>
      <c r="L11" s="24">
        <f t="shared" si="3"/>
        <v>0</v>
      </c>
      <c r="M11" s="25">
        <f t="shared" si="4"/>
        <v>0</v>
      </c>
      <c r="N11" s="26">
        <f>ROUND(V11*Hauptstelle!$J$54,-2)</f>
        <v>0</v>
      </c>
      <c r="O11" s="27">
        <f t="shared" si="5"/>
        <v>0</v>
      </c>
      <c r="P11" s="24">
        <f t="shared" si="6"/>
        <v>0</v>
      </c>
      <c r="Q11" s="24">
        <f>(P11*(1/Hauptstelle!$J$52))+((L11/100)*Hauptstelle!$J$53)</f>
        <v>0</v>
      </c>
      <c r="R11" s="28">
        <f t="shared" si="7"/>
        <v>0</v>
      </c>
      <c r="S11" s="29">
        <f>R11/Hauptstelle!$R$47</f>
        <v>0</v>
      </c>
      <c r="T11" s="28">
        <f t="shared" si="8"/>
        <v>0</v>
      </c>
      <c r="U11" s="29">
        <f>T11/Hauptstelle!$T$47</f>
        <v>0</v>
      </c>
      <c r="V11" s="29">
        <f t="shared" si="9"/>
        <v>0</v>
      </c>
      <c r="W11" s="16">
        <f t="shared" si="10"/>
        <v>0</v>
      </c>
    </row>
    <row r="12" spans="1:23" ht="9">
      <c r="A12" s="134" t="s">
        <v>46</v>
      </c>
      <c r="B12" s="30">
        <v>28</v>
      </c>
      <c r="C12" s="30">
        <v>1345</v>
      </c>
      <c r="D12" s="16">
        <f t="shared" si="0"/>
        <v>12.18186758445793</v>
      </c>
      <c r="E12" s="30">
        <v>4532</v>
      </c>
      <c r="F12" s="47">
        <f>E12/Hauptstelle!$E$50*100</f>
        <v>0.43712052161248477</v>
      </c>
      <c r="G12" s="19">
        <v>9.45</v>
      </c>
      <c r="H12" s="20">
        <f t="shared" si="1"/>
        <v>3.3695167286245353</v>
      </c>
      <c r="I12" s="21">
        <f t="shared" si="2"/>
        <v>74.1516524927433</v>
      </c>
      <c r="J12" s="22">
        <v>47</v>
      </c>
      <c r="K12" s="23">
        <f t="shared" si="11"/>
        <v>6.448333333333333</v>
      </c>
      <c r="L12" s="24">
        <f t="shared" si="3"/>
        <v>792.520710141644</v>
      </c>
      <c r="M12" s="25">
        <f t="shared" si="4"/>
        <v>-552.479289858356</v>
      </c>
      <c r="N12" s="26">
        <f>ROUND(V12*Hauptstelle!$J$54,-2)</f>
        <v>300</v>
      </c>
      <c r="O12" s="27">
        <f t="shared" si="5"/>
        <v>702.817265443267</v>
      </c>
      <c r="P12" s="24">
        <f t="shared" si="6"/>
        <v>0</v>
      </c>
      <c r="Q12" s="24">
        <f>(P12*(1/Hauptstelle!$J$52))+((L12/100)*Hauptstelle!$J$53)</f>
        <v>39.6260355070822</v>
      </c>
      <c r="R12" s="28">
        <f t="shared" si="7"/>
        <v>374.4660355419268</v>
      </c>
      <c r="S12" s="29">
        <f>R12/Hauptstelle!$R$47</f>
        <v>0.0017278750629720946</v>
      </c>
      <c r="T12" s="28">
        <f t="shared" si="8"/>
        <v>42827.399999999994</v>
      </c>
      <c r="U12" s="29">
        <f>T12/Hauptstelle!$T$47</f>
        <v>0.003290353298187019</v>
      </c>
      <c r="V12" s="29">
        <f t="shared" si="9"/>
        <v>0.0025091141805795567</v>
      </c>
      <c r="W12" s="16">
        <f t="shared" si="10"/>
        <v>126896</v>
      </c>
    </row>
    <row r="13" spans="1:23" ht="9">
      <c r="A13" s="134" t="s">
        <v>47</v>
      </c>
      <c r="B13" s="30">
        <v>28</v>
      </c>
      <c r="C13" s="30"/>
      <c r="D13" s="16">
        <f t="shared" si="0"/>
        <v>0</v>
      </c>
      <c r="E13" s="30"/>
      <c r="F13" s="47">
        <f>E13/Hauptstelle!$E$50*100</f>
        <v>0</v>
      </c>
      <c r="G13" s="19">
        <v>30</v>
      </c>
      <c r="H13" s="20" t="e">
        <f t="shared" si="1"/>
        <v>#DIV/0!</v>
      </c>
      <c r="I13" s="21" t="e">
        <f t="shared" si="2"/>
        <v>#DIV/0!</v>
      </c>
      <c r="J13" s="22">
        <v>73</v>
      </c>
      <c r="K13" s="23">
        <f t="shared" si="11"/>
        <v>3.285</v>
      </c>
      <c r="L13" s="24">
        <f t="shared" si="3"/>
        <v>0</v>
      </c>
      <c r="M13" s="25">
        <f t="shared" si="4"/>
        <v>0</v>
      </c>
      <c r="N13" s="26">
        <f>ROUND(V13*Hauptstelle!$J$54,-2)</f>
        <v>0</v>
      </c>
      <c r="O13" s="27">
        <f t="shared" si="5"/>
        <v>0</v>
      </c>
      <c r="P13" s="24">
        <f t="shared" si="6"/>
        <v>0</v>
      </c>
      <c r="Q13" s="24">
        <f>(P13*(1/Hauptstelle!$J$52))+((L13/100)*Hauptstelle!$J$53)</f>
        <v>0</v>
      </c>
      <c r="R13" s="28">
        <f t="shared" si="7"/>
        <v>0</v>
      </c>
      <c r="S13" s="29">
        <f>R13/Hauptstelle!$R$47</f>
        <v>0</v>
      </c>
      <c r="T13" s="28">
        <f t="shared" si="8"/>
        <v>0</v>
      </c>
      <c r="U13" s="29">
        <f>T13/Hauptstelle!$T$47</f>
        <v>0</v>
      </c>
      <c r="V13" s="29">
        <f t="shared" si="9"/>
        <v>0</v>
      </c>
      <c r="W13" s="16">
        <f t="shared" si="10"/>
        <v>0</v>
      </c>
    </row>
    <row r="14" spans="1:23" ht="9">
      <c r="A14" s="134" t="s">
        <v>48</v>
      </c>
      <c r="B14" s="30">
        <v>28</v>
      </c>
      <c r="C14" s="30"/>
      <c r="D14" s="16">
        <f t="shared" si="0"/>
        <v>0</v>
      </c>
      <c r="E14" s="30"/>
      <c r="F14" s="47">
        <f>E14/Hauptstelle!$E$50*100</f>
        <v>0</v>
      </c>
      <c r="G14" s="19">
        <v>15</v>
      </c>
      <c r="H14" s="20" t="e">
        <f t="shared" si="1"/>
        <v>#DIV/0!</v>
      </c>
      <c r="I14" s="21" t="e">
        <f t="shared" si="2"/>
        <v>#DIV/0!</v>
      </c>
      <c r="J14" s="22">
        <v>60</v>
      </c>
      <c r="K14" s="23">
        <f t="shared" si="11"/>
        <v>4.866666666666666</v>
      </c>
      <c r="L14" s="24">
        <f t="shared" si="3"/>
        <v>0</v>
      </c>
      <c r="M14" s="25">
        <f t="shared" si="4"/>
        <v>0</v>
      </c>
      <c r="N14" s="26">
        <f>ROUND(V14*Hauptstelle!$J$54,-2)</f>
        <v>0</v>
      </c>
      <c r="O14" s="27">
        <f t="shared" si="5"/>
        <v>0</v>
      </c>
      <c r="P14" s="24">
        <f t="shared" si="6"/>
        <v>0</v>
      </c>
      <c r="Q14" s="24">
        <f>(P14*(1/Hauptstelle!$J$52))+((L14/100)*Hauptstelle!$J$53)</f>
        <v>0</v>
      </c>
      <c r="R14" s="28">
        <f t="shared" si="7"/>
        <v>0</v>
      </c>
      <c r="S14" s="29">
        <f>R14/Hauptstelle!$R$47</f>
        <v>0</v>
      </c>
      <c r="T14" s="28">
        <f t="shared" si="8"/>
        <v>0</v>
      </c>
      <c r="U14" s="29">
        <f>T14/Hauptstelle!$T$47</f>
        <v>0</v>
      </c>
      <c r="V14" s="29">
        <f t="shared" si="9"/>
        <v>0</v>
      </c>
      <c r="W14" s="16">
        <f t="shared" si="10"/>
        <v>0</v>
      </c>
    </row>
    <row r="15" spans="1:23" ht="9">
      <c r="A15" s="134" t="s">
        <v>49</v>
      </c>
      <c r="B15" s="30">
        <v>7</v>
      </c>
      <c r="C15" s="30"/>
      <c r="D15" s="16">
        <f t="shared" si="0"/>
        <v>0</v>
      </c>
      <c r="E15" s="30"/>
      <c r="F15" s="47">
        <f>E15/Hauptstelle!$E$50*100</f>
        <v>0</v>
      </c>
      <c r="G15" s="19">
        <v>55</v>
      </c>
      <c r="H15" s="20" t="e">
        <f t="shared" si="1"/>
        <v>#DIV/0!</v>
      </c>
      <c r="I15" s="21" t="e">
        <f t="shared" si="2"/>
        <v>#DIV/0!</v>
      </c>
      <c r="J15" s="22">
        <v>35</v>
      </c>
      <c r="K15" s="23">
        <f t="shared" si="11"/>
        <v>7.908333333333333</v>
      </c>
      <c r="L15" s="24">
        <f t="shared" si="3"/>
        <v>0</v>
      </c>
      <c r="M15" s="25">
        <f t="shared" si="4"/>
        <v>0</v>
      </c>
      <c r="N15" s="26">
        <f>ROUND(V15*Hauptstelle!$J$54,-2)</f>
        <v>0</v>
      </c>
      <c r="O15" s="27">
        <f t="shared" si="5"/>
        <v>0</v>
      </c>
      <c r="P15" s="24">
        <f t="shared" si="6"/>
        <v>0</v>
      </c>
      <c r="Q15" s="24">
        <f>(P15*(1/Hauptstelle!$J$52))+((L15/100)*Hauptstelle!$J$53)</f>
        <v>0</v>
      </c>
      <c r="R15" s="28">
        <f t="shared" si="7"/>
        <v>0</v>
      </c>
      <c r="S15" s="29">
        <f>R15/Hauptstelle!$R$47</f>
        <v>0</v>
      </c>
      <c r="T15" s="28">
        <f t="shared" si="8"/>
        <v>0</v>
      </c>
      <c r="U15" s="29">
        <f>T15/Hauptstelle!$T$47</f>
        <v>0</v>
      </c>
      <c r="V15" s="29">
        <f t="shared" si="9"/>
        <v>0</v>
      </c>
      <c r="W15" s="16">
        <f t="shared" si="10"/>
        <v>0</v>
      </c>
    </row>
    <row r="16" spans="1:23" ht="9">
      <c r="A16" s="134" t="s">
        <v>50</v>
      </c>
      <c r="B16" s="30">
        <v>28</v>
      </c>
      <c r="C16" s="30"/>
      <c r="D16" s="16">
        <f t="shared" si="0"/>
        <v>0</v>
      </c>
      <c r="E16" s="30"/>
      <c r="F16" s="47">
        <f>E16/Hauptstelle!$E$50*100</f>
        <v>0</v>
      </c>
      <c r="G16" s="19">
        <v>20.45</v>
      </c>
      <c r="H16" s="20" t="e">
        <f t="shared" si="1"/>
        <v>#DIV/0!</v>
      </c>
      <c r="I16" s="21" t="e">
        <f t="shared" si="2"/>
        <v>#DIV/0!</v>
      </c>
      <c r="J16" s="22">
        <v>35</v>
      </c>
      <c r="K16" s="23">
        <f t="shared" si="11"/>
        <v>7.908333333333333</v>
      </c>
      <c r="L16" s="24">
        <f t="shared" si="3"/>
        <v>0</v>
      </c>
      <c r="M16" s="25">
        <f t="shared" si="4"/>
        <v>0</v>
      </c>
      <c r="N16" s="26">
        <f>ROUND(V16*Hauptstelle!$J$54,-2)</f>
        <v>0</v>
      </c>
      <c r="O16" s="27">
        <f t="shared" si="5"/>
        <v>0</v>
      </c>
      <c r="P16" s="24">
        <f t="shared" si="6"/>
        <v>0</v>
      </c>
      <c r="Q16" s="24">
        <f>(P16*(1/Hauptstelle!$J$52))+((L16/100)*Hauptstelle!$J$53)</f>
        <v>0</v>
      </c>
      <c r="R16" s="28">
        <f t="shared" si="7"/>
        <v>0</v>
      </c>
      <c r="S16" s="29">
        <f>R16/Hauptstelle!$R$47</f>
        <v>0</v>
      </c>
      <c r="T16" s="28">
        <f t="shared" si="8"/>
        <v>0</v>
      </c>
      <c r="U16" s="29">
        <f>T16/Hauptstelle!$T$47</f>
        <v>0</v>
      </c>
      <c r="V16" s="29">
        <f t="shared" si="9"/>
        <v>0</v>
      </c>
      <c r="W16" s="16">
        <f t="shared" si="10"/>
        <v>0</v>
      </c>
    </row>
    <row r="17" spans="1:23" ht="9">
      <c r="A17" s="134" t="s">
        <v>4</v>
      </c>
      <c r="B17" s="30">
        <v>56</v>
      </c>
      <c r="C17" s="30"/>
      <c r="D17" s="16">
        <f t="shared" si="0"/>
        <v>0</v>
      </c>
      <c r="E17" s="30"/>
      <c r="F17" s="47">
        <f>E17/Hauptstelle!$E$50*100</f>
        <v>0</v>
      </c>
      <c r="G17" s="19">
        <v>30</v>
      </c>
      <c r="H17" s="20" t="e">
        <f t="shared" si="1"/>
        <v>#DIV/0!</v>
      </c>
      <c r="I17" s="21" t="e">
        <f t="shared" si="2"/>
        <v>#DIV/0!</v>
      </c>
      <c r="J17" s="22">
        <v>78</v>
      </c>
      <c r="K17" s="23">
        <f t="shared" si="11"/>
        <v>2.6766666666666667</v>
      </c>
      <c r="L17" s="24">
        <f t="shared" si="3"/>
        <v>0</v>
      </c>
      <c r="M17" s="25">
        <f t="shared" si="4"/>
        <v>0</v>
      </c>
      <c r="N17" s="26">
        <f>ROUND(V17*Hauptstelle!$J$54,-2)</f>
        <v>0</v>
      </c>
      <c r="O17" s="27">
        <f t="shared" si="5"/>
        <v>0</v>
      </c>
      <c r="P17" s="24">
        <f t="shared" si="6"/>
        <v>0</v>
      </c>
      <c r="Q17" s="24">
        <f>(P17*(1/Hauptstelle!$J$52))+((L17/100)*Hauptstelle!$J$53)</f>
        <v>0</v>
      </c>
      <c r="R17" s="28">
        <f t="shared" si="7"/>
        <v>0</v>
      </c>
      <c r="S17" s="29">
        <f>R17/Hauptstelle!$R$47</f>
        <v>0</v>
      </c>
      <c r="T17" s="28">
        <f t="shared" si="8"/>
        <v>0</v>
      </c>
      <c r="U17" s="29">
        <f>T17/Hauptstelle!$T$47</f>
        <v>0</v>
      </c>
      <c r="V17" s="29">
        <f t="shared" si="9"/>
        <v>0</v>
      </c>
      <c r="W17" s="16">
        <f t="shared" si="10"/>
        <v>0</v>
      </c>
    </row>
    <row r="18" spans="1:23" ht="9">
      <c r="A18" s="134" t="s">
        <v>51</v>
      </c>
      <c r="B18" s="30">
        <v>28</v>
      </c>
      <c r="C18" s="30"/>
      <c r="D18" s="16">
        <f t="shared" si="0"/>
        <v>0</v>
      </c>
      <c r="E18" s="30"/>
      <c r="F18" s="47">
        <f>E18/Hauptstelle!$E$50*100</f>
        <v>0</v>
      </c>
      <c r="G18" s="19">
        <v>25</v>
      </c>
      <c r="H18" s="20" t="e">
        <f t="shared" si="1"/>
        <v>#DIV/0!</v>
      </c>
      <c r="I18" s="21" t="e">
        <f t="shared" si="2"/>
        <v>#DIV/0!</v>
      </c>
      <c r="J18" s="22">
        <v>73</v>
      </c>
      <c r="K18" s="23">
        <f t="shared" si="11"/>
        <v>3.285</v>
      </c>
      <c r="L18" s="24">
        <f t="shared" si="3"/>
        <v>0</v>
      </c>
      <c r="M18" s="25">
        <f t="shared" si="4"/>
        <v>0</v>
      </c>
      <c r="N18" s="26">
        <f>ROUND(V18*Hauptstelle!$J$54,-2)</f>
        <v>0</v>
      </c>
      <c r="O18" s="27">
        <f t="shared" si="5"/>
        <v>0</v>
      </c>
      <c r="P18" s="24">
        <f t="shared" si="6"/>
        <v>0</v>
      </c>
      <c r="Q18" s="24">
        <f>(P18*(1/Hauptstelle!$J$52))+((L18/100)*Hauptstelle!$J$53)</f>
        <v>0</v>
      </c>
      <c r="R18" s="28">
        <f t="shared" si="7"/>
        <v>0</v>
      </c>
      <c r="S18" s="29">
        <f>R18/Hauptstelle!$R$47</f>
        <v>0</v>
      </c>
      <c r="T18" s="28">
        <f t="shared" si="8"/>
        <v>0</v>
      </c>
      <c r="U18" s="29">
        <f>T18/Hauptstelle!$T$47</f>
        <v>0</v>
      </c>
      <c r="V18" s="29">
        <f t="shared" si="9"/>
        <v>0</v>
      </c>
      <c r="W18" s="16">
        <f t="shared" si="10"/>
        <v>0</v>
      </c>
    </row>
    <row r="19" spans="1:23" ht="9">
      <c r="A19" s="134" t="s">
        <v>53</v>
      </c>
      <c r="B19" s="30">
        <v>28</v>
      </c>
      <c r="C19" s="30"/>
      <c r="D19" s="16">
        <f t="shared" si="0"/>
        <v>0</v>
      </c>
      <c r="E19" s="30"/>
      <c r="F19" s="47">
        <f>E19/Hauptstelle!$E$50*100</f>
        <v>0</v>
      </c>
      <c r="G19" s="19">
        <v>22</v>
      </c>
      <c r="H19" s="20" t="e">
        <f t="shared" si="1"/>
        <v>#DIV/0!</v>
      </c>
      <c r="I19" s="21" t="e">
        <f t="shared" si="2"/>
        <v>#DIV/0!</v>
      </c>
      <c r="J19" s="22">
        <v>44</v>
      </c>
      <c r="K19" s="23">
        <f t="shared" si="11"/>
        <v>6.8133333333333335</v>
      </c>
      <c r="L19" s="24">
        <f t="shared" si="3"/>
        <v>0</v>
      </c>
      <c r="M19" s="25">
        <f t="shared" si="4"/>
        <v>0</v>
      </c>
      <c r="N19" s="26">
        <f>ROUND(V19*Hauptstelle!$J$54,-2)</f>
        <v>0</v>
      </c>
      <c r="O19" s="27">
        <f t="shared" si="5"/>
        <v>0</v>
      </c>
      <c r="P19" s="24">
        <f t="shared" si="6"/>
        <v>0</v>
      </c>
      <c r="Q19" s="24">
        <f>(P19*(1/Hauptstelle!$J$52))+((L19/100)*Hauptstelle!$J$53)</f>
        <v>0</v>
      </c>
      <c r="R19" s="28">
        <f t="shared" si="7"/>
        <v>0</v>
      </c>
      <c r="S19" s="29">
        <f>R19/Hauptstelle!$R$47</f>
        <v>0</v>
      </c>
      <c r="T19" s="28">
        <f t="shared" si="8"/>
        <v>0</v>
      </c>
      <c r="U19" s="29">
        <f>T19/Hauptstelle!$T$47</f>
        <v>0</v>
      </c>
      <c r="V19" s="29">
        <f t="shared" si="9"/>
        <v>0</v>
      </c>
      <c r="W19" s="16">
        <f t="shared" si="10"/>
        <v>0</v>
      </c>
    </row>
    <row r="20" spans="1:23" ht="9">
      <c r="A20" s="134" t="s">
        <v>54</v>
      </c>
      <c r="B20" s="30">
        <v>28</v>
      </c>
      <c r="C20" s="30">
        <v>102</v>
      </c>
      <c r="D20" s="16">
        <f t="shared" si="0"/>
        <v>0.9238293632823114</v>
      </c>
      <c r="E20" s="30">
        <v>982</v>
      </c>
      <c r="F20" s="47">
        <f>E20/Hauptstelle!$E$50*100</f>
        <v>0.09471587648355252</v>
      </c>
      <c r="G20" s="19">
        <v>24</v>
      </c>
      <c r="H20" s="20">
        <f t="shared" si="1"/>
        <v>9.627450980392156</v>
      </c>
      <c r="I20" s="21">
        <f t="shared" si="2"/>
        <v>26.145581520279347</v>
      </c>
      <c r="J20" s="22">
        <v>50</v>
      </c>
      <c r="K20" s="23">
        <f t="shared" si="11"/>
        <v>6.083333333333333</v>
      </c>
      <c r="L20" s="24">
        <f t="shared" si="3"/>
        <v>182.02794739643429</v>
      </c>
      <c r="M20" s="25">
        <f t="shared" si="4"/>
        <v>80.02794739643429</v>
      </c>
      <c r="N20" s="26">
        <f>ROUND(V20*Hauptstelle!$J$54,-2)</f>
        <v>200</v>
      </c>
      <c r="O20" s="27">
        <f t="shared" si="5"/>
        <v>161.4246575342466</v>
      </c>
      <c r="P20" s="24">
        <f t="shared" si="6"/>
        <v>80.02794739643429</v>
      </c>
      <c r="Q20" s="24">
        <f>(P20*(1/Hauptstelle!$J$52))+((L20/100)*Hauptstelle!$J$53)</f>
        <v>17.104192109465146</v>
      </c>
      <c r="R20" s="28">
        <f t="shared" si="7"/>
        <v>410.5006106271635</v>
      </c>
      <c r="S20" s="29">
        <f>R20/Hauptstelle!$R$47</f>
        <v>0.0018941471351627509</v>
      </c>
      <c r="T20" s="28">
        <f t="shared" si="8"/>
        <v>23568</v>
      </c>
      <c r="U20" s="29">
        <f>T20/Hauptstelle!$T$47</f>
        <v>0.0018106877030048913</v>
      </c>
      <c r="V20" s="29">
        <f t="shared" si="9"/>
        <v>0.0018524174190838211</v>
      </c>
      <c r="W20" s="16">
        <f t="shared" si="10"/>
        <v>27496</v>
      </c>
    </row>
    <row r="21" spans="1:23" ht="9">
      <c r="A21" s="134" t="s">
        <v>52</v>
      </c>
      <c r="B21" s="30">
        <v>28</v>
      </c>
      <c r="C21" s="30"/>
      <c r="D21" s="16">
        <f t="shared" si="0"/>
        <v>0</v>
      </c>
      <c r="E21" s="30"/>
      <c r="F21" s="47">
        <f>E21/Hauptstelle!$E$50*100</f>
        <v>0</v>
      </c>
      <c r="G21" s="19">
        <v>21</v>
      </c>
      <c r="H21" s="20" t="e">
        <f t="shared" si="1"/>
        <v>#DIV/0!</v>
      </c>
      <c r="I21" s="21" t="e">
        <f t="shared" si="2"/>
        <v>#DIV/0!</v>
      </c>
      <c r="J21" s="22">
        <v>73</v>
      </c>
      <c r="K21" s="23">
        <f t="shared" si="11"/>
        <v>3.285</v>
      </c>
      <c r="L21" s="24">
        <f t="shared" si="3"/>
        <v>0</v>
      </c>
      <c r="M21" s="25">
        <f t="shared" si="4"/>
        <v>0</v>
      </c>
      <c r="N21" s="26">
        <f>ROUND(V21*Hauptstelle!$J$54,-2)</f>
        <v>0</v>
      </c>
      <c r="O21" s="27">
        <f t="shared" si="5"/>
        <v>0</v>
      </c>
      <c r="P21" s="24">
        <f t="shared" si="6"/>
        <v>0</v>
      </c>
      <c r="Q21" s="24">
        <f>(P21*(1/Hauptstelle!$J$52))+((L21/100)*Hauptstelle!$J$53)</f>
        <v>0</v>
      </c>
      <c r="R21" s="28">
        <f t="shared" si="7"/>
        <v>0</v>
      </c>
      <c r="S21" s="29">
        <f>R21/Hauptstelle!$R$47</f>
        <v>0</v>
      </c>
      <c r="T21" s="28">
        <f t="shared" si="8"/>
        <v>0</v>
      </c>
      <c r="U21" s="29">
        <f>T21/Hauptstelle!$T$47</f>
        <v>0</v>
      </c>
      <c r="V21" s="29">
        <f t="shared" si="9"/>
        <v>0</v>
      </c>
      <c r="W21" s="16">
        <f t="shared" si="10"/>
        <v>0</v>
      </c>
    </row>
    <row r="22" spans="1:23" ht="9">
      <c r="A22" s="134" t="s">
        <v>55</v>
      </c>
      <c r="B22" s="30">
        <v>28</v>
      </c>
      <c r="C22" s="30"/>
      <c r="D22" s="16">
        <f t="shared" si="0"/>
        <v>0</v>
      </c>
      <c r="E22" s="30"/>
      <c r="F22" s="47">
        <f>E22/Hauptstelle!$E$50*100</f>
        <v>0</v>
      </c>
      <c r="G22" s="19">
        <v>13.5</v>
      </c>
      <c r="H22" s="20" t="e">
        <f t="shared" si="1"/>
        <v>#DIV/0!</v>
      </c>
      <c r="I22" s="21" t="e">
        <f t="shared" si="2"/>
        <v>#DIV/0!</v>
      </c>
      <c r="J22" s="22">
        <v>44</v>
      </c>
      <c r="K22" s="23">
        <f t="shared" si="11"/>
        <v>6.8133333333333335</v>
      </c>
      <c r="L22" s="24">
        <f t="shared" si="3"/>
        <v>0</v>
      </c>
      <c r="M22" s="25">
        <f t="shared" si="4"/>
        <v>0</v>
      </c>
      <c r="N22" s="26">
        <f>ROUND(V22*Hauptstelle!$J$54,-2)</f>
        <v>0</v>
      </c>
      <c r="O22" s="27">
        <f t="shared" si="5"/>
        <v>0</v>
      </c>
      <c r="P22" s="24">
        <f t="shared" si="6"/>
        <v>0</v>
      </c>
      <c r="Q22" s="24">
        <f>(P22*(1/Hauptstelle!$J$52))+((L22/100)*Hauptstelle!$J$53)</f>
        <v>0</v>
      </c>
      <c r="R22" s="28">
        <f t="shared" si="7"/>
        <v>0</v>
      </c>
      <c r="S22" s="29">
        <f>R22/Hauptstelle!$R$47</f>
        <v>0</v>
      </c>
      <c r="T22" s="28">
        <f t="shared" si="8"/>
        <v>0</v>
      </c>
      <c r="U22" s="29">
        <f>T22/Hauptstelle!$T$47</f>
        <v>0</v>
      </c>
      <c r="V22" s="29">
        <f t="shared" si="9"/>
        <v>0</v>
      </c>
      <c r="W22" s="16">
        <f t="shared" si="10"/>
        <v>0</v>
      </c>
    </row>
    <row r="23" spans="1:23" ht="9">
      <c r="A23" s="134" t="s">
        <v>56</v>
      </c>
      <c r="B23" s="30">
        <v>28</v>
      </c>
      <c r="C23" s="30"/>
      <c r="D23" s="16">
        <f>Hauptstelle!C785/$C$37*100</f>
        <v>0</v>
      </c>
      <c r="E23" s="30"/>
      <c r="F23" s="47">
        <f>E23/Hauptstelle!$E$50*100</f>
        <v>0</v>
      </c>
      <c r="G23" s="19">
        <v>18.9</v>
      </c>
      <c r="H23" s="20" t="e">
        <f t="shared" si="1"/>
        <v>#DIV/0!</v>
      </c>
      <c r="I23" s="21" t="e">
        <f t="shared" si="2"/>
        <v>#DIV/0!</v>
      </c>
      <c r="J23" s="22">
        <v>50</v>
      </c>
      <c r="K23" s="23">
        <f t="shared" si="11"/>
        <v>6.083333333333333</v>
      </c>
      <c r="L23" s="24">
        <f t="shared" si="3"/>
        <v>0</v>
      </c>
      <c r="M23" s="25">
        <f t="shared" si="4"/>
        <v>0</v>
      </c>
      <c r="N23" s="26">
        <f>ROUND(V23*Hauptstelle!$J$54,-2)</f>
        <v>0</v>
      </c>
      <c r="O23" s="27">
        <f t="shared" si="5"/>
        <v>0</v>
      </c>
      <c r="P23" s="24">
        <f t="shared" si="6"/>
        <v>0</v>
      </c>
      <c r="Q23" s="24">
        <f>(P23*(1/Hauptstelle!$J$52))+((L23/100)*Hauptstelle!$J$53)</f>
        <v>0</v>
      </c>
      <c r="R23" s="28">
        <f t="shared" si="7"/>
        <v>0</v>
      </c>
      <c r="S23" s="29">
        <f>R23/Hauptstelle!$R$47</f>
        <v>0</v>
      </c>
      <c r="T23" s="28">
        <f t="shared" si="8"/>
        <v>0</v>
      </c>
      <c r="U23" s="29">
        <f>T23/Hauptstelle!$T$47</f>
        <v>0</v>
      </c>
      <c r="V23" s="29">
        <f t="shared" si="9"/>
        <v>0</v>
      </c>
      <c r="W23" s="16">
        <f t="shared" si="10"/>
        <v>0</v>
      </c>
    </row>
    <row r="24" spans="1:23" ht="9">
      <c r="A24" s="134" t="s">
        <v>5</v>
      </c>
      <c r="B24" s="30">
        <v>28</v>
      </c>
      <c r="C24" s="30"/>
      <c r="D24" s="16">
        <f aca="true" t="shared" si="12" ref="D24:D36">C24/$C$37*100</f>
        <v>0</v>
      </c>
      <c r="E24" s="30"/>
      <c r="F24" s="47">
        <f>E24/Hauptstelle!$E$50*100</f>
        <v>0</v>
      </c>
      <c r="G24" s="19">
        <v>7.67</v>
      </c>
      <c r="H24" s="20" t="e">
        <f t="shared" si="1"/>
        <v>#DIV/0!</v>
      </c>
      <c r="I24" s="21" t="e">
        <f t="shared" si="2"/>
        <v>#DIV/0!</v>
      </c>
      <c r="J24" s="22">
        <v>78</v>
      </c>
      <c r="K24" s="23">
        <f t="shared" si="11"/>
        <v>2.6766666666666667</v>
      </c>
      <c r="L24" s="24">
        <f t="shared" si="3"/>
        <v>0</v>
      </c>
      <c r="M24" s="25">
        <f t="shared" si="4"/>
        <v>0</v>
      </c>
      <c r="N24" s="26">
        <f>ROUND(V24*Hauptstelle!$J$54,-2)</f>
        <v>0</v>
      </c>
      <c r="O24" s="27">
        <f t="shared" si="5"/>
        <v>0</v>
      </c>
      <c r="P24" s="24">
        <f t="shared" si="6"/>
        <v>0</v>
      </c>
      <c r="Q24" s="24">
        <f>(P24*(1/Hauptstelle!$J$52))+((L24/100)*Hauptstelle!$J$53)</f>
        <v>0</v>
      </c>
      <c r="R24" s="28">
        <f t="shared" si="7"/>
        <v>0</v>
      </c>
      <c r="S24" s="29">
        <f>R24/Hauptstelle!$R$47</f>
        <v>0</v>
      </c>
      <c r="T24" s="28">
        <f t="shared" si="8"/>
        <v>0</v>
      </c>
      <c r="U24" s="29">
        <f>T24/Hauptstelle!$T$47</f>
        <v>0</v>
      </c>
      <c r="V24" s="29">
        <f t="shared" si="9"/>
        <v>0</v>
      </c>
      <c r="W24" s="16">
        <f t="shared" si="10"/>
        <v>0</v>
      </c>
    </row>
    <row r="25" spans="1:23" ht="9">
      <c r="A25" s="134" t="s">
        <v>57</v>
      </c>
      <c r="B25" s="30">
        <v>28</v>
      </c>
      <c r="C25" s="30"/>
      <c r="D25" s="16">
        <f t="shared" si="12"/>
        <v>0</v>
      </c>
      <c r="E25" s="30"/>
      <c r="F25" s="47">
        <f>E25/Hauptstelle!$E$50*100</f>
        <v>0</v>
      </c>
      <c r="G25" s="19">
        <v>10</v>
      </c>
      <c r="H25" s="20" t="e">
        <f t="shared" si="1"/>
        <v>#DIV/0!</v>
      </c>
      <c r="I25" s="21" t="e">
        <f t="shared" si="2"/>
        <v>#DIV/0!</v>
      </c>
      <c r="J25" s="22">
        <v>70</v>
      </c>
      <c r="K25" s="23">
        <f t="shared" si="11"/>
        <v>3.65</v>
      </c>
      <c r="L25" s="24">
        <f t="shared" si="3"/>
        <v>0</v>
      </c>
      <c r="M25" s="25">
        <f t="shared" si="4"/>
        <v>0</v>
      </c>
      <c r="N25" s="26">
        <f>ROUND(V25*Hauptstelle!$J$54,-2)</f>
        <v>0</v>
      </c>
      <c r="O25" s="27">
        <f t="shared" si="5"/>
        <v>0</v>
      </c>
      <c r="P25" s="24">
        <f t="shared" si="6"/>
        <v>0</v>
      </c>
      <c r="Q25" s="24">
        <f>(P25*(1/Hauptstelle!$J$52))+((L25/100)*Hauptstelle!$J$53)</f>
        <v>0</v>
      </c>
      <c r="R25" s="28">
        <f t="shared" si="7"/>
        <v>0</v>
      </c>
      <c r="S25" s="29">
        <f>R25/Hauptstelle!$R$47</f>
        <v>0</v>
      </c>
      <c r="T25" s="28">
        <f t="shared" si="8"/>
        <v>0</v>
      </c>
      <c r="U25" s="29">
        <f>T25/Hauptstelle!$T$47</f>
        <v>0</v>
      </c>
      <c r="V25" s="29">
        <f t="shared" si="9"/>
        <v>0</v>
      </c>
      <c r="W25" s="16">
        <f t="shared" si="10"/>
        <v>0</v>
      </c>
    </row>
    <row r="26" spans="1:23" ht="9">
      <c r="A26" s="134" t="s">
        <v>58</v>
      </c>
      <c r="B26" s="30">
        <v>28</v>
      </c>
      <c r="C26" s="30"/>
      <c r="D26" s="16">
        <f t="shared" si="12"/>
        <v>0</v>
      </c>
      <c r="E26" s="30"/>
      <c r="F26" s="47">
        <f>E26/Hauptstelle!$E$50*100</f>
        <v>0</v>
      </c>
      <c r="G26" s="19">
        <v>10</v>
      </c>
      <c r="H26" s="20" t="e">
        <f t="shared" si="1"/>
        <v>#DIV/0!</v>
      </c>
      <c r="I26" s="21" t="e">
        <f t="shared" si="2"/>
        <v>#DIV/0!</v>
      </c>
      <c r="J26" s="22">
        <v>70</v>
      </c>
      <c r="K26" s="23">
        <f t="shared" si="11"/>
        <v>3.65</v>
      </c>
      <c r="L26" s="24">
        <f t="shared" si="3"/>
        <v>0</v>
      </c>
      <c r="M26" s="25">
        <f t="shared" si="4"/>
        <v>0</v>
      </c>
      <c r="N26" s="26">
        <f>ROUND(V26*Hauptstelle!$J$54,-2)</f>
        <v>0</v>
      </c>
      <c r="O26" s="27">
        <f t="shared" si="5"/>
        <v>0</v>
      </c>
      <c r="P26" s="24">
        <f t="shared" si="6"/>
        <v>0</v>
      </c>
      <c r="Q26" s="24">
        <f>(P26*(1/Hauptstelle!$J$52))+((L26/100)*Hauptstelle!$J$53)</f>
        <v>0</v>
      </c>
      <c r="R26" s="28">
        <f t="shared" si="7"/>
        <v>0</v>
      </c>
      <c r="S26" s="29">
        <f>R26/Hauptstelle!$R$47</f>
        <v>0</v>
      </c>
      <c r="T26" s="28">
        <f t="shared" si="8"/>
        <v>0</v>
      </c>
      <c r="U26" s="29">
        <f>T26/Hauptstelle!$T$47</f>
        <v>0</v>
      </c>
      <c r="V26" s="29">
        <f t="shared" si="9"/>
        <v>0</v>
      </c>
      <c r="W26" s="16">
        <f t="shared" si="10"/>
        <v>0</v>
      </c>
    </row>
    <row r="27" spans="1:23" ht="9">
      <c r="A27" s="134" t="s">
        <v>113</v>
      </c>
      <c r="B27" s="30">
        <v>28</v>
      </c>
      <c r="C27" s="30"/>
      <c r="D27" s="16">
        <f t="shared" si="12"/>
        <v>0</v>
      </c>
      <c r="E27" s="30"/>
      <c r="F27" s="47">
        <f>E27/Hauptstelle!$E$50*100</f>
        <v>0</v>
      </c>
      <c r="G27" s="19">
        <v>9.09</v>
      </c>
      <c r="H27" s="20" t="e">
        <f t="shared" si="1"/>
        <v>#DIV/0!</v>
      </c>
      <c r="I27" s="21" t="e">
        <f t="shared" si="2"/>
        <v>#DIV/0!</v>
      </c>
      <c r="J27" s="22">
        <v>30</v>
      </c>
      <c r="K27" s="23">
        <f t="shared" si="11"/>
        <v>8.516666666666667</v>
      </c>
      <c r="L27" s="24">
        <f t="shared" si="3"/>
        <v>0</v>
      </c>
      <c r="M27" s="25">
        <f t="shared" si="4"/>
        <v>0</v>
      </c>
      <c r="N27" s="26">
        <f>ROUND(V27*Hauptstelle!$J$54,-2)</f>
        <v>0</v>
      </c>
      <c r="O27" s="27">
        <f t="shared" si="5"/>
        <v>0</v>
      </c>
      <c r="P27" s="24">
        <f t="shared" si="6"/>
        <v>0</v>
      </c>
      <c r="Q27" s="24">
        <f>(P27*(1/Hauptstelle!$J$52))+((L27/100)*Hauptstelle!$J$53)</f>
        <v>0</v>
      </c>
      <c r="R27" s="28">
        <f t="shared" si="7"/>
        <v>0</v>
      </c>
      <c r="S27" s="29">
        <f>R27/Hauptstelle!$R$47</f>
        <v>0</v>
      </c>
      <c r="T27" s="28">
        <f t="shared" si="8"/>
        <v>0</v>
      </c>
      <c r="U27" s="29">
        <f>T27/Hauptstelle!$T$47</f>
        <v>0</v>
      </c>
      <c r="V27" s="29">
        <f t="shared" si="9"/>
        <v>0</v>
      </c>
      <c r="W27" s="16">
        <f t="shared" si="10"/>
        <v>0</v>
      </c>
    </row>
    <row r="28" spans="1:23" ht="9">
      <c r="A28" s="134" t="s">
        <v>114</v>
      </c>
      <c r="B28" s="30">
        <v>28</v>
      </c>
      <c r="C28" s="30"/>
      <c r="D28" s="16">
        <f t="shared" si="12"/>
        <v>0</v>
      </c>
      <c r="E28" s="30"/>
      <c r="F28" s="47">
        <f>E28/Hauptstelle!$E$50*100</f>
        <v>0</v>
      </c>
      <c r="G28" s="19">
        <v>7</v>
      </c>
      <c r="H28" s="20" t="e">
        <f t="shared" si="1"/>
        <v>#DIV/0!</v>
      </c>
      <c r="I28" s="21" t="e">
        <f t="shared" si="2"/>
        <v>#DIV/0!</v>
      </c>
      <c r="J28" s="22">
        <v>30</v>
      </c>
      <c r="K28" s="23">
        <f t="shared" si="11"/>
        <v>8.516666666666667</v>
      </c>
      <c r="L28" s="24">
        <f t="shared" si="3"/>
        <v>0</v>
      </c>
      <c r="M28" s="25">
        <f t="shared" si="4"/>
        <v>0</v>
      </c>
      <c r="N28" s="26">
        <f>ROUND(V28*Hauptstelle!$J$54,-2)</f>
        <v>0</v>
      </c>
      <c r="O28" s="27">
        <f t="shared" si="5"/>
        <v>0</v>
      </c>
      <c r="P28" s="24">
        <f t="shared" si="6"/>
        <v>0</v>
      </c>
      <c r="Q28" s="24">
        <f>(P28*(1/Hauptstelle!$J$52))+((L28/100)*Hauptstelle!$J$53)</f>
        <v>0</v>
      </c>
      <c r="R28" s="28">
        <f t="shared" si="7"/>
        <v>0</v>
      </c>
      <c r="S28" s="29">
        <f>R28/Hauptstelle!$R$47</f>
        <v>0</v>
      </c>
      <c r="T28" s="28">
        <f t="shared" si="8"/>
        <v>0</v>
      </c>
      <c r="U28" s="29">
        <f>T28/Hauptstelle!$T$47</f>
        <v>0</v>
      </c>
      <c r="V28" s="29">
        <f t="shared" si="9"/>
        <v>0</v>
      </c>
      <c r="W28" s="16">
        <f t="shared" si="10"/>
        <v>0</v>
      </c>
    </row>
    <row r="29" spans="1:23" ht="9">
      <c r="A29" s="134" t="s">
        <v>115</v>
      </c>
      <c r="B29" s="30">
        <v>28</v>
      </c>
      <c r="C29" s="30"/>
      <c r="D29" s="16">
        <f t="shared" si="12"/>
        <v>0</v>
      </c>
      <c r="E29" s="30"/>
      <c r="F29" s="47">
        <f>E29/Hauptstelle!$E$50*100</f>
        <v>0</v>
      </c>
      <c r="G29" s="19">
        <v>3.5</v>
      </c>
      <c r="H29" s="20" t="e">
        <f t="shared" si="1"/>
        <v>#DIV/0!</v>
      </c>
      <c r="I29" s="21" t="e">
        <f t="shared" si="2"/>
        <v>#DIV/0!</v>
      </c>
      <c r="J29" s="22">
        <v>30</v>
      </c>
      <c r="K29" s="23">
        <f t="shared" si="11"/>
        <v>8.516666666666667</v>
      </c>
      <c r="L29" s="24">
        <f t="shared" si="3"/>
        <v>0</v>
      </c>
      <c r="M29" s="25">
        <f t="shared" si="4"/>
        <v>0</v>
      </c>
      <c r="N29" s="26">
        <f>ROUND(V29*Hauptstelle!$J$54,-2)</f>
        <v>0</v>
      </c>
      <c r="O29" s="27">
        <f t="shared" si="5"/>
        <v>0</v>
      </c>
      <c r="P29" s="24">
        <f t="shared" si="6"/>
        <v>0</v>
      </c>
      <c r="Q29" s="24">
        <f>(P29*(1/Hauptstelle!$J$52))+((L29/100)*Hauptstelle!$J$53)</f>
        <v>0</v>
      </c>
      <c r="R29" s="28">
        <f t="shared" si="7"/>
        <v>0</v>
      </c>
      <c r="S29" s="29">
        <f>R29/Hauptstelle!$R$47</f>
        <v>0</v>
      </c>
      <c r="T29" s="28">
        <f t="shared" si="8"/>
        <v>0</v>
      </c>
      <c r="U29" s="29">
        <f>T29/Hauptstelle!$T$47</f>
        <v>0</v>
      </c>
      <c r="V29" s="29">
        <f t="shared" si="9"/>
        <v>0</v>
      </c>
      <c r="W29" s="16">
        <f t="shared" si="10"/>
        <v>0</v>
      </c>
    </row>
    <row r="30" spans="1:23" ht="9">
      <c r="A30" s="134" t="s">
        <v>116</v>
      </c>
      <c r="B30" s="30">
        <v>28</v>
      </c>
      <c r="C30" s="30"/>
      <c r="D30" s="16">
        <f t="shared" si="12"/>
        <v>0</v>
      </c>
      <c r="E30" s="30"/>
      <c r="F30" s="47">
        <f>E30/Hauptstelle!$E$50*100</f>
        <v>0</v>
      </c>
      <c r="G30" s="19">
        <v>7.778</v>
      </c>
      <c r="H30" s="20" t="e">
        <f t="shared" si="1"/>
        <v>#DIV/0!</v>
      </c>
      <c r="I30" s="21" t="e">
        <f t="shared" si="2"/>
        <v>#DIV/0!</v>
      </c>
      <c r="J30" s="22">
        <v>30</v>
      </c>
      <c r="K30" s="23">
        <f t="shared" si="11"/>
        <v>8.516666666666667</v>
      </c>
      <c r="L30" s="24">
        <f t="shared" si="3"/>
        <v>0</v>
      </c>
      <c r="M30" s="25">
        <f t="shared" si="4"/>
        <v>0</v>
      </c>
      <c r="N30" s="26">
        <f>ROUND(V30*Hauptstelle!$J$54,-2)</f>
        <v>0</v>
      </c>
      <c r="O30" s="27">
        <f t="shared" si="5"/>
        <v>0</v>
      </c>
      <c r="P30" s="24">
        <f t="shared" si="6"/>
        <v>0</v>
      </c>
      <c r="Q30" s="24">
        <f>(P30*(1/Hauptstelle!$J$52))+((L30/100)*Hauptstelle!$J$53)</f>
        <v>0</v>
      </c>
      <c r="R30" s="28">
        <f t="shared" si="7"/>
        <v>0</v>
      </c>
      <c r="S30" s="29">
        <f>R30/Hauptstelle!$R$47</f>
        <v>0</v>
      </c>
      <c r="T30" s="28">
        <f t="shared" si="8"/>
        <v>0</v>
      </c>
      <c r="U30" s="29">
        <f>T30/Hauptstelle!$T$47</f>
        <v>0</v>
      </c>
      <c r="V30" s="29">
        <f t="shared" si="9"/>
        <v>0</v>
      </c>
      <c r="W30" s="16">
        <f t="shared" si="10"/>
        <v>0</v>
      </c>
    </row>
    <row r="31" spans="1:23" ht="9">
      <c r="A31" s="134" t="s">
        <v>117</v>
      </c>
      <c r="B31" s="30">
        <v>28</v>
      </c>
      <c r="C31" s="30"/>
      <c r="D31" s="16">
        <f t="shared" si="12"/>
        <v>0</v>
      </c>
      <c r="E31" s="30"/>
      <c r="F31" s="47">
        <f>E31/Hauptstelle!$E$50*100</f>
        <v>0</v>
      </c>
      <c r="G31" s="19">
        <v>8</v>
      </c>
      <c r="H31" s="20" t="e">
        <f t="shared" si="1"/>
        <v>#DIV/0!</v>
      </c>
      <c r="I31" s="21" t="e">
        <f t="shared" si="2"/>
        <v>#DIV/0!</v>
      </c>
      <c r="J31" s="22">
        <v>30</v>
      </c>
      <c r="K31" s="23">
        <f t="shared" si="11"/>
        <v>8.516666666666667</v>
      </c>
      <c r="L31" s="24">
        <f t="shared" si="3"/>
        <v>0</v>
      </c>
      <c r="M31" s="25">
        <f t="shared" si="4"/>
        <v>0</v>
      </c>
      <c r="N31" s="26">
        <f>ROUND(V31*Hauptstelle!$J$54,-2)</f>
        <v>0</v>
      </c>
      <c r="O31" s="27">
        <f t="shared" si="5"/>
        <v>0</v>
      </c>
      <c r="P31" s="24">
        <f t="shared" si="6"/>
        <v>0</v>
      </c>
      <c r="Q31" s="24">
        <f>(P31*(1/Hauptstelle!$J$52))+((L31/100)*Hauptstelle!$J$53)</f>
        <v>0</v>
      </c>
      <c r="R31" s="28">
        <f t="shared" si="7"/>
        <v>0</v>
      </c>
      <c r="S31" s="29">
        <f>R31/Hauptstelle!$R$47</f>
        <v>0</v>
      </c>
      <c r="T31" s="28">
        <f t="shared" si="8"/>
        <v>0</v>
      </c>
      <c r="U31" s="29">
        <f>T31/Hauptstelle!$T$47</f>
        <v>0</v>
      </c>
      <c r="V31" s="29">
        <f t="shared" si="9"/>
        <v>0</v>
      </c>
      <c r="W31" s="16">
        <f t="shared" si="10"/>
        <v>0</v>
      </c>
    </row>
    <row r="32" spans="1:23" ht="9">
      <c r="A32" s="134" t="s">
        <v>118</v>
      </c>
      <c r="B32" s="30">
        <v>28</v>
      </c>
      <c r="C32" s="30"/>
      <c r="D32" s="16">
        <f t="shared" si="12"/>
        <v>0</v>
      </c>
      <c r="E32" s="30"/>
      <c r="F32" s="47">
        <f>E32/Hauptstelle!$E$50*100</f>
        <v>0</v>
      </c>
      <c r="G32" s="19">
        <v>11.25</v>
      </c>
      <c r="H32" s="20" t="e">
        <f t="shared" si="1"/>
        <v>#DIV/0!</v>
      </c>
      <c r="I32" s="21" t="e">
        <f t="shared" si="2"/>
        <v>#DIV/0!</v>
      </c>
      <c r="J32" s="22">
        <v>30</v>
      </c>
      <c r="K32" s="23">
        <f t="shared" si="11"/>
        <v>8.516666666666667</v>
      </c>
      <c r="L32" s="24">
        <f t="shared" si="3"/>
        <v>0</v>
      </c>
      <c r="M32" s="25">
        <f t="shared" si="4"/>
        <v>0</v>
      </c>
      <c r="N32" s="26">
        <f>ROUND(V32*Hauptstelle!$J$54,-2)</f>
        <v>0</v>
      </c>
      <c r="O32" s="27">
        <f t="shared" si="5"/>
        <v>0</v>
      </c>
      <c r="P32" s="24">
        <f t="shared" si="6"/>
        <v>0</v>
      </c>
      <c r="Q32" s="24">
        <f>(P32*(1/Hauptstelle!$J$52))+((L32/100)*Hauptstelle!$J$53)</f>
        <v>0</v>
      </c>
      <c r="R32" s="28">
        <f t="shared" si="7"/>
        <v>0</v>
      </c>
      <c r="S32" s="29">
        <f>R32/Hauptstelle!$R$47</f>
        <v>0</v>
      </c>
      <c r="T32" s="28">
        <f t="shared" si="8"/>
        <v>0</v>
      </c>
      <c r="U32" s="29">
        <f>T32/Hauptstelle!$T$47</f>
        <v>0</v>
      </c>
      <c r="V32" s="29">
        <f t="shared" si="9"/>
        <v>0</v>
      </c>
      <c r="W32" s="16">
        <f t="shared" si="10"/>
        <v>0</v>
      </c>
    </row>
    <row r="33" spans="1:23" ht="9">
      <c r="A33" s="134" t="s">
        <v>119</v>
      </c>
      <c r="B33" s="30">
        <v>28</v>
      </c>
      <c r="C33" s="30"/>
      <c r="D33" s="16">
        <f t="shared" si="12"/>
        <v>0</v>
      </c>
      <c r="E33" s="30"/>
      <c r="F33" s="47">
        <f>E33/Hauptstelle!$E$50*100</f>
        <v>0</v>
      </c>
      <c r="G33" s="19">
        <v>10.71</v>
      </c>
      <c r="H33" s="20" t="e">
        <f t="shared" si="1"/>
        <v>#DIV/0!</v>
      </c>
      <c r="I33" s="21" t="e">
        <f t="shared" si="2"/>
        <v>#DIV/0!</v>
      </c>
      <c r="J33" s="22">
        <v>30</v>
      </c>
      <c r="K33" s="23">
        <f t="shared" si="11"/>
        <v>8.516666666666667</v>
      </c>
      <c r="L33" s="24">
        <f t="shared" si="3"/>
        <v>0</v>
      </c>
      <c r="M33" s="25">
        <f t="shared" si="4"/>
        <v>0</v>
      </c>
      <c r="N33" s="26">
        <f>ROUND(V33*Hauptstelle!$J$54,-2)</f>
        <v>0</v>
      </c>
      <c r="O33" s="27">
        <f t="shared" si="5"/>
        <v>0</v>
      </c>
      <c r="P33" s="24">
        <f t="shared" si="6"/>
        <v>0</v>
      </c>
      <c r="Q33" s="24">
        <f>(P33*(1/Hauptstelle!$J$52))+((L33/100)*Hauptstelle!$J$53)</f>
        <v>0</v>
      </c>
      <c r="R33" s="28">
        <f t="shared" si="7"/>
        <v>0</v>
      </c>
      <c r="S33" s="29">
        <f>R33/Hauptstelle!$R$47</f>
        <v>0</v>
      </c>
      <c r="T33" s="28">
        <f t="shared" si="8"/>
        <v>0</v>
      </c>
      <c r="U33" s="29">
        <f>T33/Hauptstelle!$T$47</f>
        <v>0</v>
      </c>
      <c r="V33" s="29">
        <f t="shared" si="9"/>
        <v>0</v>
      </c>
      <c r="W33" s="16">
        <f t="shared" si="10"/>
        <v>0</v>
      </c>
    </row>
    <row r="34" spans="1:23" ht="9">
      <c r="A34" s="134" t="s">
        <v>120</v>
      </c>
      <c r="B34" s="30">
        <v>28</v>
      </c>
      <c r="C34" s="30"/>
      <c r="D34" s="16">
        <f t="shared" si="12"/>
        <v>0</v>
      </c>
      <c r="E34" s="30"/>
      <c r="F34" s="47">
        <f>E34/Hauptstelle!$E$50*100</f>
        <v>0</v>
      </c>
      <c r="G34" s="19">
        <v>20</v>
      </c>
      <c r="H34" s="20" t="e">
        <f t="shared" si="1"/>
        <v>#DIV/0!</v>
      </c>
      <c r="I34" s="21" t="e">
        <f t="shared" si="2"/>
        <v>#DIV/0!</v>
      </c>
      <c r="J34" s="22">
        <v>30</v>
      </c>
      <c r="K34" s="23">
        <f t="shared" si="11"/>
        <v>8.516666666666667</v>
      </c>
      <c r="L34" s="24">
        <f t="shared" si="3"/>
        <v>0</v>
      </c>
      <c r="M34" s="25">
        <f t="shared" si="4"/>
        <v>0</v>
      </c>
      <c r="N34" s="26">
        <f>ROUND(V34*Hauptstelle!$J$54,-2)</f>
        <v>0</v>
      </c>
      <c r="O34" s="27">
        <f t="shared" si="5"/>
        <v>0</v>
      </c>
      <c r="P34" s="24">
        <f t="shared" si="6"/>
        <v>0</v>
      </c>
      <c r="Q34" s="24">
        <f>(P34*(1/Hauptstelle!$J$52))+((L34/100)*Hauptstelle!$J$53)</f>
        <v>0</v>
      </c>
      <c r="R34" s="28">
        <f t="shared" si="7"/>
        <v>0</v>
      </c>
      <c r="S34" s="29">
        <f>R34/Hauptstelle!$R$47</f>
        <v>0</v>
      </c>
      <c r="T34" s="28">
        <f t="shared" si="8"/>
        <v>0</v>
      </c>
      <c r="U34" s="29">
        <f>T34/Hauptstelle!$T$47</f>
        <v>0</v>
      </c>
      <c r="V34" s="29">
        <f t="shared" si="9"/>
        <v>0</v>
      </c>
      <c r="W34" s="16">
        <f t="shared" si="10"/>
        <v>0</v>
      </c>
    </row>
    <row r="35" spans="1:23" ht="9">
      <c r="A35" s="134" t="s">
        <v>121</v>
      </c>
      <c r="B35" s="30">
        <v>28</v>
      </c>
      <c r="C35" s="30"/>
      <c r="D35" s="16">
        <f t="shared" si="12"/>
        <v>0</v>
      </c>
      <c r="E35" s="30"/>
      <c r="F35" s="47">
        <f>E35/Hauptstelle!$E$50*100</f>
        <v>0</v>
      </c>
      <c r="G35" s="19">
        <v>10</v>
      </c>
      <c r="H35" s="20" t="e">
        <f t="shared" si="1"/>
        <v>#DIV/0!</v>
      </c>
      <c r="I35" s="21" t="e">
        <f t="shared" si="2"/>
        <v>#DIV/0!</v>
      </c>
      <c r="J35" s="22">
        <v>30</v>
      </c>
      <c r="K35" s="23">
        <f t="shared" si="11"/>
        <v>8.516666666666667</v>
      </c>
      <c r="L35" s="24">
        <f t="shared" si="3"/>
        <v>0</v>
      </c>
      <c r="M35" s="25">
        <f t="shared" si="4"/>
        <v>0</v>
      </c>
      <c r="N35" s="26">
        <f>ROUND(V35*Hauptstelle!$J$54,-2)</f>
        <v>0</v>
      </c>
      <c r="O35" s="27">
        <f t="shared" si="5"/>
        <v>0</v>
      </c>
      <c r="P35" s="24">
        <f t="shared" si="6"/>
        <v>0</v>
      </c>
      <c r="Q35" s="24">
        <f>(P35*(1/Hauptstelle!$J$52))+((L35/100)*Hauptstelle!$J$53)</f>
        <v>0</v>
      </c>
      <c r="R35" s="28">
        <f t="shared" si="7"/>
        <v>0</v>
      </c>
      <c r="S35" s="29">
        <f>R35/Hauptstelle!$R$47</f>
        <v>0</v>
      </c>
      <c r="T35" s="28">
        <f t="shared" si="8"/>
        <v>0</v>
      </c>
      <c r="U35" s="29">
        <f>T35/Hauptstelle!$T$47</f>
        <v>0</v>
      </c>
      <c r="V35" s="29">
        <f t="shared" si="9"/>
        <v>0</v>
      </c>
      <c r="W35" s="16">
        <f t="shared" si="10"/>
        <v>0</v>
      </c>
    </row>
    <row r="36" spans="1:23" ht="9">
      <c r="A36" s="134" t="s">
        <v>122</v>
      </c>
      <c r="B36" s="30">
        <v>28</v>
      </c>
      <c r="C36" s="30"/>
      <c r="D36" s="16">
        <f t="shared" si="12"/>
        <v>0</v>
      </c>
      <c r="E36" s="30"/>
      <c r="F36" s="47">
        <f>E36/Hauptstelle!$E$50*100</f>
        <v>0</v>
      </c>
      <c r="G36" s="19">
        <v>10</v>
      </c>
      <c r="H36" s="20" t="e">
        <f t="shared" si="1"/>
        <v>#DIV/0!</v>
      </c>
      <c r="I36" s="21" t="e">
        <f t="shared" si="2"/>
        <v>#DIV/0!</v>
      </c>
      <c r="J36" s="22">
        <v>30</v>
      </c>
      <c r="K36" s="23">
        <f t="shared" si="11"/>
        <v>8.516666666666667</v>
      </c>
      <c r="L36" s="24">
        <f t="shared" si="3"/>
        <v>0</v>
      </c>
      <c r="M36" s="25">
        <f t="shared" si="4"/>
        <v>0</v>
      </c>
      <c r="N36" s="26">
        <f>ROUND(V36*Hauptstelle!$J$54,-2)</f>
        <v>0</v>
      </c>
      <c r="O36" s="27">
        <f t="shared" si="5"/>
        <v>0</v>
      </c>
      <c r="P36" s="24">
        <f t="shared" si="6"/>
        <v>0</v>
      </c>
      <c r="Q36" s="24">
        <f>(P36*(1/Hauptstelle!$J$52))+((L36/100)*Hauptstelle!$J$53)</f>
        <v>0</v>
      </c>
      <c r="R36" s="28">
        <f t="shared" si="7"/>
        <v>0</v>
      </c>
      <c r="S36" s="29">
        <f>R36/Hauptstelle!$R$47</f>
        <v>0</v>
      </c>
      <c r="T36" s="28">
        <f t="shared" si="8"/>
        <v>0</v>
      </c>
      <c r="U36" s="29">
        <f>T36/Hauptstelle!$T$47</f>
        <v>0</v>
      </c>
      <c r="V36" s="29">
        <f t="shared" si="9"/>
        <v>0</v>
      </c>
      <c r="W36" s="16">
        <f t="shared" si="10"/>
        <v>0</v>
      </c>
    </row>
    <row r="37" spans="1:23" ht="9">
      <c r="A37" s="32" t="s">
        <v>6</v>
      </c>
      <c r="B37" s="32">
        <f>IF(E37=0,SUM(B2:B36)/35,W37/E37)</f>
        <v>28</v>
      </c>
      <c r="C37" s="32">
        <f>SUM(C2:C36)</f>
        <v>11041</v>
      </c>
      <c r="D37" s="32"/>
      <c r="E37" s="32">
        <f>SUM(E2:E36)</f>
        <v>40904</v>
      </c>
      <c r="F37" s="32"/>
      <c r="G37" s="98"/>
      <c r="H37" s="85">
        <f>E37/C37</f>
        <v>3.704736889774477</v>
      </c>
      <c r="I37" s="78">
        <f t="shared" si="2"/>
        <v>71.58010057159306</v>
      </c>
      <c r="J37" s="99"/>
      <c r="K37" s="99"/>
      <c r="L37" s="41">
        <f>SUM(L2:L36)</f>
        <v>11041</v>
      </c>
      <c r="M37" s="100"/>
      <c r="N37" s="101">
        <f>SUM(N2:N36)</f>
        <v>4800</v>
      </c>
      <c r="O37" s="39">
        <f>SUM(O2:O36)</f>
        <v>9791.29671749806</v>
      </c>
      <c r="P37" s="40"/>
      <c r="Q37" s="41">
        <f>SUM(P2:P36)</f>
        <v>2093.5588262102997</v>
      </c>
      <c r="R37" s="42">
        <f>SUM(R2:R36)</f>
        <v>11361.38383851229</v>
      </c>
      <c r="S37" s="43"/>
      <c r="T37" s="42">
        <f>SUM(T2:T36)</f>
        <v>550987.13</v>
      </c>
      <c r="U37" s="43"/>
      <c r="V37" s="43"/>
      <c r="W37" s="16">
        <f>SUM(W2:W36)</f>
        <v>1145312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2" sqref="G2:G36"/>
    </sheetView>
  </sheetViews>
  <sheetFormatPr defaultColWidth="11.421875" defaultRowHeight="12.75"/>
  <cols>
    <col min="1" max="1" width="19.28125" style="93" customWidth="1"/>
    <col min="2" max="2" width="6.140625" style="93" customWidth="1"/>
    <col min="3" max="3" width="7.00390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2812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7.00390625" style="93" bestFit="1" customWidth="1"/>
    <col min="13" max="13" width="6.00390625" style="93" bestFit="1" customWidth="1"/>
    <col min="14" max="14" width="14.421875" style="93" bestFit="1" customWidth="1"/>
    <col min="15" max="21" width="13.7109375" style="93" bestFit="1" customWidth="1"/>
    <col min="22" max="22" width="13.57421875" style="93" bestFit="1" customWidth="1"/>
    <col min="23" max="23" width="12.57421875" style="93" customWidth="1"/>
    <col min="24" max="16384" width="11.421875" style="93" customWidth="1"/>
  </cols>
  <sheetData>
    <row r="1" spans="1:23" ht="27">
      <c r="A1" s="1" t="s">
        <v>11</v>
      </c>
      <c r="B1" s="91" t="s">
        <v>96</v>
      </c>
      <c r="C1" s="2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92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34" t="s">
        <v>0</v>
      </c>
      <c r="B2" s="30">
        <v>28</v>
      </c>
      <c r="C2" s="30">
        <v>1768</v>
      </c>
      <c r="D2" s="47">
        <f>C2/Hauptstelle!$E$50*100</f>
        <v>0.1705271584754795</v>
      </c>
      <c r="E2" s="30">
        <v>4376</v>
      </c>
      <c r="F2" s="47">
        <f>E2/Hauptstelle!$E$50*100</f>
        <v>0.42207400762935426</v>
      </c>
      <c r="G2" s="19">
        <v>16.84</v>
      </c>
      <c r="H2" s="20">
        <f aca="true" t="shared" si="0" ref="H2:H36">E2/C2</f>
        <v>2.475113122171946</v>
      </c>
      <c r="I2" s="21">
        <f aca="true" t="shared" si="1" ref="I2:I37">((365-(H2*B2))*100)/365</f>
        <v>81.01283084361248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3360.5567844640746</v>
      </c>
      <c r="M2" s="25">
        <f aca="true" t="shared" si="3" ref="M2:M36">L2-C2</f>
        <v>1592.5567844640746</v>
      </c>
      <c r="N2" s="26">
        <f>ROUND(V2*Hauptstelle!$J$54,Hauptstelle!W51)</f>
        <v>1600</v>
      </c>
      <c r="O2" s="27">
        <f aca="true" t="shared" si="4" ref="O2:O36">E2/K2</f>
        <v>1634.8692403486923</v>
      </c>
      <c r="P2" s="24">
        <f aca="true" t="shared" si="5" ref="P2:P36">IF(M2&lt;0,0,M2)</f>
        <v>1592.5567844640746</v>
      </c>
      <c r="Q2" s="24">
        <f>(P2*(1/Hauptstelle!$J$52))+((L2/100)*Hauptstelle!$J$53)</f>
        <v>327.28351766961123</v>
      </c>
      <c r="R2" s="28">
        <f aca="true" t="shared" si="6" ref="R2:R36">Q2*G2</f>
        <v>5511.454437556253</v>
      </c>
      <c r="S2" s="29">
        <f>R2/Hauptstelle!$R$47</f>
        <v>0.02543115738007725</v>
      </c>
      <c r="T2" s="28">
        <f aca="true" t="shared" si="7" ref="T2:T36">E2*G2</f>
        <v>73691.84</v>
      </c>
      <c r="U2" s="29">
        <f>T2/Hauptstelle!$T$47</f>
        <v>0.005661613564995076</v>
      </c>
      <c r="V2" s="29">
        <f aca="true" t="shared" si="8" ref="V2:V36">(S2+U2)/2</f>
        <v>0.015546385472536162</v>
      </c>
      <c r="W2" s="16">
        <f aca="true" t="shared" si="9" ref="W2:W36">B2*E2</f>
        <v>122528</v>
      </c>
    </row>
    <row r="3" spans="1:23" ht="9">
      <c r="A3" s="134" t="s">
        <v>1</v>
      </c>
      <c r="B3" s="30">
        <v>28</v>
      </c>
      <c r="C3" s="30">
        <v>2456</v>
      </c>
      <c r="D3" s="47">
        <f>C3/Hauptstelle!$E$50*100</f>
        <v>0.2368861432215937</v>
      </c>
      <c r="E3" s="30">
        <v>6609</v>
      </c>
      <c r="F3" s="47">
        <f>E3/Hauptstelle!$E$50*100</f>
        <v>0.6374513520160883</v>
      </c>
      <c r="G3" s="19">
        <v>14.9</v>
      </c>
      <c r="H3" s="20">
        <f t="shared" si="0"/>
        <v>2.6909609120521174</v>
      </c>
      <c r="I3" s="21">
        <f t="shared" si="1"/>
        <v>79.357012181518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2791.4661525794536</v>
      </c>
      <c r="M3" s="25">
        <f t="shared" si="3"/>
        <v>335.4661525794536</v>
      </c>
      <c r="N3" s="26">
        <f>ROUND(V3*Hauptstelle!$J$54,Hauptstelle!W51)</f>
        <v>1000</v>
      </c>
      <c r="O3" s="27">
        <f t="shared" si="4"/>
        <v>1358.013698630137</v>
      </c>
      <c r="P3" s="24">
        <f t="shared" si="5"/>
        <v>335.4661525794536</v>
      </c>
      <c r="Q3" s="24">
        <f>(P3*(1/Hauptstelle!$J$52))+((L3/100)*Hauptstelle!$J$53)</f>
        <v>173.11992288691806</v>
      </c>
      <c r="R3" s="28">
        <f t="shared" si="6"/>
        <v>2579.486851015079</v>
      </c>
      <c r="S3" s="29">
        <f>R3/Hauptstelle!$R$47</f>
        <v>0.011902363851725993</v>
      </c>
      <c r="T3" s="28">
        <f t="shared" si="7"/>
        <v>98474.1</v>
      </c>
      <c r="U3" s="29">
        <f>T3/Hauptstelle!$T$47</f>
        <v>0.0075655907134450934</v>
      </c>
      <c r="V3" s="29">
        <f t="shared" si="8"/>
        <v>0.009733977282585543</v>
      </c>
      <c r="W3" s="16">
        <f t="shared" si="9"/>
        <v>185052</v>
      </c>
    </row>
    <row r="4" spans="1:23" ht="9">
      <c r="A4" s="134" t="s">
        <v>2</v>
      </c>
      <c r="B4" s="30">
        <v>28</v>
      </c>
      <c r="C4" s="30">
        <v>9865</v>
      </c>
      <c r="D4" s="47">
        <f>C4/Hauptstelle!$E$50*100</f>
        <v>0.9514991054075821</v>
      </c>
      <c r="E4" s="30">
        <v>15648</v>
      </c>
      <c r="F4" s="47">
        <f>E4/Hauptstelle!$E$50*100</f>
        <v>1.5092810949232482</v>
      </c>
      <c r="G4" s="19">
        <v>11.21</v>
      </c>
      <c r="H4" s="20">
        <f t="shared" si="0"/>
        <v>1.5862138874809935</v>
      </c>
      <c r="I4" s="21">
        <f t="shared" si="1"/>
        <v>87.83178387685813</v>
      </c>
      <c r="J4" s="22">
        <v>60</v>
      </c>
      <c r="K4" s="23">
        <f t="shared" si="10"/>
        <v>4.866666666666666</v>
      </c>
      <c r="L4" s="24">
        <f t="shared" si="2"/>
        <v>6609.299796574868</v>
      </c>
      <c r="M4" s="25">
        <f t="shared" si="3"/>
        <v>-3255.700203425132</v>
      </c>
      <c r="N4" s="26">
        <f>ROUND(V4*Hauptstelle!$J$54,Hauptstelle!W51)</f>
        <v>1500</v>
      </c>
      <c r="O4" s="27">
        <f t="shared" si="4"/>
        <v>3215.342465753425</v>
      </c>
      <c r="P4" s="24">
        <f t="shared" si="5"/>
        <v>0</v>
      </c>
      <c r="Q4" s="24">
        <f>(P4*(1/Hauptstelle!$J$52))+((L4/100)*Hauptstelle!$J$53)</f>
        <v>330.4649898287434</v>
      </c>
      <c r="R4" s="28">
        <f t="shared" si="6"/>
        <v>3704.5125359802137</v>
      </c>
      <c r="S4" s="29">
        <f>R4/Hauptstelle!$R$47</f>
        <v>0.017093499072951438</v>
      </c>
      <c r="T4" s="28">
        <f t="shared" si="7"/>
        <v>175414.08000000002</v>
      </c>
      <c r="U4" s="29">
        <f>T4/Hauptstelle!$T$47</f>
        <v>0.013476753122450622</v>
      </c>
      <c r="V4" s="29">
        <f t="shared" si="8"/>
        <v>0.01528512609770103</v>
      </c>
      <c r="W4" s="16">
        <f t="shared" si="9"/>
        <v>438144</v>
      </c>
    </row>
    <row r="5" spans="1:23" ht="9">
      <c r="A5" s="134" t="s">
        <v>112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13.61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34" t="s">
        <v>3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34" t="s">
        <v>41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19.4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34" t="s">
        <v>42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25.8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34" t="s">
        <v>43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13.5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34" t="s">
        <v>44</v>
      </c>
      <c r="B10" s="30">
        <v>28</v>
      </c>
      <c r="C10" s="30">
        <v>1234</v>
      </c>
      <c r="D10" s="47">
        <f>C10/Hauptstelle!$E$50*100</f>
        <v>0.11902178368707109</v>
      </c>
      <c r="E10" s="30">
        <v>3412</v>
      </c>
      <c r="F10" s="47">
        <f>E10/Hauptstelle!$E$50*100</f>
        <v>0.32909426737462444</v>
      </c>
      <c r="G10" s="19">
        <v>13.95</v>
      </c>
      <c r="H10" s="20">
        <f t="shared" si="0"/>
        <v>2.764991896272285</v>
      </c>
      <c r="I10" s="21">
        <f t="shared" si="1"/>
        <v>78.78910326147287</v>
      </c>
      <c r="J10" s="22">
        <v>50</v>
      </c>
      <c r="K10" s="23">
        <f t="shared" si="10"/>
        <v>6.083333333333333</v>
      </c>
      <c r="L10" s="24">
        <f t="shared" si="2"/>
        <v>1152.9105780119346</v>
      </c>
      <c r="M10" s="25">
        <f t="shared" si="3"/>
        <v>-81.0894219880654</v>
      </c>
      <c r="N10" s="26">
        <f>ROUND(V10*Hauptstelle!$J$54,Hauptstelle!W51)</f>
        <v>400</v>
      </c>
      <c r="O10" s="27">
        <f t="shared" si="4"/>
        <v>560.8767123287671</v>
      </c>
      <c r="P10" s="24">
        <f t="shared" si="5"/>
        <v>0</v>
      </c>
      <c r="Q10" s="24">
        <f>(P10*(1/Hauptstelle!$J$52))+((L10/100)*Hauptstelle!$J$53)</f>
        <v>57.64552890059673</v>
      </c>
      <c r="R10" s="28">
        <f t="shared" si="6"/>
        <v>804.1551281633243</v>
      </c>
      <c r="S10" s="29">
        <f>R10/Hauptstelle!$R$47</f>
        <v>0.0037105624030859936</v>
      </c>
      <c r="T10" s="28">
        <f t="shared" si="7"/>
        <v>47597.399999999994</v>
      </c>
      <c r="U10" s="29">
        <f>T10/Hauptstelle!$T$47</f>
        <v>0.003656823950908223</v>
      </c>
      <c r="V10" s="29">
        <f t="shared" si="8"/>
        <v>0.003683693176997108</v>
      </c>
      <c r="W10" s="16">
        <f t="shared" si="9"/>
        <v>95536</v>
      </c>
    </row>
    <row r="11" spans="1:23" ht="9">
      <c r="A11" s="134" t="s">
        <v>45</v>
      </c>
      <c r="B11" s="30">
        <v>28</v>
      </c>
      <c r="C11" s="30">
        <v>321</v>
      </c>
      <c r="D11" s="47">
        <f>C11/Hauptstelle!$E$50*100</f>
        <v>0.030961096080672462</v>
      </c>
      <c r="E11" s="30">
        <v>893</v>
      </c>
      <c r="F11" s="47">
        <f>E11/Hauptstelle!$E$50*100</f>
        <v>0.08613164735215112</v>
      </c>
      <c r="G11" s="19">
        <v>25</v>
      </c>
      <c r="H11" s="20">
        <f t="shared" si="0"/>
        <v>2.781931464174455</v>
      </c>
      <c r="I11" s="21">
        <f t="shared" si="1"/>
        <v>78.65915589126446</v>
      </c>
      <c r="J11" s="22">
        <v>50</v>
      </c>
      <c r="K11" s="23">
        <f t="shared" si="10"/>
        <v>6.083333333333333</v>
      </c>
      <c r="L11" s="24">
        <f t="shared" si="2"/>
        <v>301.74359500722676</v>
      </c>
      <c r="M11" s="25">
        <f t="shared" si="3"/>
        <v>-19.25640499277324</v>
      </c>
      <c r="N11" s="26">
        <f>ROUND(V11*Hauptstelle!$J$54,Hauptstelle!W51)</f>
        <v>200</v>
      </c>
      <c r="O11" s="27">
        <f t="shared" si="4"/>
        <v>146.7945205479452</v>
      </c>
      <c r="P11" s="24">
        <f t="shared" si="5"/>
        <v>0</v>
      </c>
      <c r="Q11" s="24">
        <f>(P11*(1/Hauptstelle!$J$52))+((L11/100)*Hauptstelle!$J$53)</f>
        <v>15.087179750361337</v>
      </c>
      <c r="R11" s="28">
        <f t="shared" si="6"/>
        <v>377.1794937590334</v>
      </c>
      <c r="S11" s="29">
        <f>R11/Hauptstelle!$R$47</f>
        <v>0.0017403956024676728</v>
      </c>
      <c r="T11" s="28">
        <f t="shared" si="7"/>
        <v>22325</v>
      </c>
      <c r="U11" s="29">
        <f>T11/Hauptstelle!$T$47</f>
        <v>0.0017151902142559486</v>
      </c>
      <c r="V11" s="29">
        <f t="shared" si="8"/>
        <v>0.0017277929083618108</v>
      </c>
      <c r="W11" s="16">
        <f t="shared" si="9"/>
        <v>25004</v>
      </c>
    </row>
    <row r="12" spans="1:23" ht="9">
      <c r="A12" s="134" t="s">
        <v>46</v>
      </c>
      <c r="B12" s="30">
        <v>28</v>
      </c>
      <c r="C12" s="30">
        <v>839</v>
      </c>
      <c r="D12" s="47">
        <f>C12/Hauptstelle!$E$50*100</f>
        <v>0.08092323866568285</v>
      </c>
      <c r="E12" s="30">
        <v>7346</v>
      </c>
      <c r="F12" s="47">
        <f>E12/Hauptstelle!$E$50*100</f>
        <v>0.7085364853851088</v>
      </c>
      <c r="G12" s="19">
        <v>9.45</v>
      </c>
      <c r="H12" s="20">
        <f t="shared" si="0"/>
        <v>8.755661501787843</v>
      </c>
      <c r="I12" s="21">
        <f t="shared" si="1"/>
        <v>32.83328163012065</v>
      </c>
      <c r="J12" s="22">
        <v>47</v>
      </c>
      <c r="K12" s="23">
        <f t="shared" si="10"/>
        <v>6.448333333333333</v>
      </c>
      <c r="L12" s="24">
        <f t="shared" si="2"/>
        <v>2341.7021793436243</v>
      </c>
      <c r="M12" s="25">
        <f t="shared" si="3"/>
        <v>1502.7021793436243</v>
      </c>
      <c r="N12" s="26">
        <f>ROUND(V12*Hauptstelle!$J$54,Hauptstelle!W51)</f>
        <v>800</v>
      </c>
      <c r="O12" s="27">
        <f t="shared" si="4"/>
        <v>1139.2090979581287</v>
      </c>
      <c r="P12" s="24">
        <f t="shared" si="5"/>
        <v>1502.7021793436243</v>
      </c>
      <c r="Q12" s="24">
        <f>(P12*(1/Hauptstelle!$J$52))+((L12/100)*Hauptstelle!$J$53)</f>
        <v>267.35532690154366</v>
      </c>
      <c r="R12" s="28">
        <f t="shared" si="6"/>
        <v>2526.5078392195874</v>
      </c>
      <c r="S12" s="29">
        <f>R12/Hauptstelle!$R$47</f>
        <v>0.011657906131522193</v>
      </c>
      <c r="T12" s="28">
        <f t="shared" si="7"/>
        <v>69419.7</v>
      </c>
      <c r="U12" s="29">
        <f>T12/Hauptstelle!$T$47</f>
        <v>0.005333392614404644</v>
      </c>
      <c r="V12" s="29">
        <f t="shared" si="8"/>
        <v>0.008495649372963418</v>
      </c>
      <c r="W12" s="16">
        <f t="shared" si="9"/>
        <v>205688</v>
      </c>
    </row>
    <row r="13" spans="1:23" ht="9">
      <c r="A13" s="134" t="s">
        <v>47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34" t="s">
        <v>48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34" t="s">
        <v>49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55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34" t="s">
        <v>50</v>
      </c>
      <c r="B16" s="30">
        <v>28</v>
      </c>
      <c r="C16" s="30">
        <v>637</v>
      </c>
      <c r="D16" s="47">
        <f>C16/Hauptstelle!$E$50*100</f>
        <v>0.061439932097783055</v>
      </c>
      <c r="E16" s="30">
        <v>1783</v>
      </c>
      <c r="F16" s="47">
        <f>E16/Hauptstelle!$E$50*100</f>
        <v>0.17197393866616512</v>
      </c>
      <c r="G16" s="19">
        <v>20.45</v>
      </c>
      <c r="H16" s="20">
        <f t="shared" si="0"/>
        <v>2.7990580847723705</v>
      </c>
      <c r="I16" s="21">
        <f t="shared" si="1"/>
        <v>78.52777359626674</v>
      </c>
      <c r="J16" s="22">
        <v>35</v>
      </c>
      <c r="K16" s="23">
        <f t="shared" si="10"/>
        <v>7.908333333333333</v>
      </c>
      <c r="L16" s="24">
        <f t="shared" si="2"/>
        <v>463.44114902048875</v>
      </c>
      <c r="M16" s="25">
        <f t="shared" si="3"/>
        <v>-173.55885097951125</v>
      </c>
      <c r="N16" s="26">
        <f>ROUND(V16*Hauptstelle!$J$54,Hauptstelle!W51)</f>
        <v>200</v>
      </c>
      <c r="O16" s="27">
        <f t="shared" si="4"/>
        <v>225.45837723919917</v>
      </c>
      <c r="P16" s="24">
        <f t="shared" si="5"/>
        <v>0</v>
      </c>
      <c r="Q16" s="24">
        <f>(P16*(1/Hauptstelle!$J$52))+((L16/100)*Hauptstelle!$J$53)</f>
        <v>23.172057451024436</v>
      </c>
      <c r="R16" s="28">
        <f t="shared" si="6"/>
        <v>473.8685748734497</v>
      </c>
      <c r="S16" s="29">
        <f>R16/Hauptstelle!$R$47</f>
        <v>0.002186541944892313</v>
      </c>
      <c r="T16" s="28">
        <f t="shared" si="7"/>
        <v>36462.35</v>
      </c>
      <c r="U16" s="29">
        <f>T16/Hauptstelle!$T$47</f>
        <v>0.0028013377786685503</v>
      </c>
      <c r="V16" s="29">
        <f t="shared" si="8"/>
        <v>0.0024939398617804314</v>
      </c>
      <c r="W16" s="16">
        <f t="shared" si="9"/>
        <v>49924</v>
      </c>
    </row>
    <row r="17" spans="1:23" ht="9">
      <c r="A17" s="134" t="s">
        <v>4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34" t="s">
        <v>51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25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34" t="s">
        <v>53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22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34" t="s">
        <v>54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24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34" t="s">
        <v>52</v>
      </c>
      <c r="B21" s="30">
        <v>28</v>
      </c>
      <c r="C21" s="30">
        <v>117</v>
      </c>
      <c r="D21" s="47">
        <f>C21/Hauptstelle!$E$50*100</f>
        <v>0.011284885487347907</v>
      </c>
      <c r="E21" s="30">
        <v>345</v>
      </c>
      <c r="F21" s="47">
        <f>E21/Hauptstelle!$E$50*100</f>
        <v>0.033275944385769474</v>
      </c>
      <c r="G21" s="19">
        <v>21</v>
      </c>
      <c r="H21" s="20">
        <f t="shared" si="0"/>
        <v>2.948717948717949</v>
      </c>
      <c r="I21" s="21">
        <f t="shared" si="1"/>
        <v>77.37969792764314</v>
      </c>
      <c r="J21" s="22">
        <v>73</v>
      </c>
      <c r="K21" s="23">
        <f t="shared" si="10"/>
        <v>3.285</v>
      </c>
      <c r="L21" s="24">
        <f t="shared" si="2"/>
        <v>215.87976499832698</v>
      </c>
      <c r="M21" s="25">
        <f t="shared" si="3"/>
        <v>98.87976499832698</v>
      </c>
      <c r="N21" s="26">
        <f>ROUND(V21*Hauptstelle!$J$54,Hauptstelle!W51)</f>
        <v>100</v>
      </c>
      <c r="O21" s="27">
        <f t="shared" si="4"/>
        <v>105.0228310502283</v>
      </c>
      <c r="P21" s="24">
        <f t="shared" si="5"/>
        <v>98.87976499832698</v>
      </c>
      <c r="Q21" s="24">
        <f>(P21*(1/Hauptstelle!$J$52))+((L21/100)*Hauptstelle!$J$53)</f>
        <v>20.68196474974905</v>
      </c>
      <c r="R21" s="28">
        <f t="shared" si="6"/>
        <v>434.32125974473</v>
      </c>
      <c r="S21" s="29">
        <f>R21/Hauptstelle!$R$47</f>
        <v>0.002004061257372756</v>
      </c>
      <c r="T21" s="28">
        <f t="shared" si="7"/>
        <v>7245</v>
      </c>
      <c r="U21" s="29">
        <f>T21/Hauptstelle!$T$47</f>
        <v>0.0005566205196991869</v>
      </c>
      <c r="V21" s="29">
        <f t="shared" si="8"/>
        <v>0.0012803408885359714</v>
      </c>
      <c r="W21" s="16">
        <f t="shared" si="9"/>
        <v>9660</v>
      </c>
    </row>
    <row r="22" spans="1:23" ht="9">
      <c r="A22" s="134" t="s">
        <v>55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13.5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34" t="s">
        <v>56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18.9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34" t="s">
        <v>5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34" t="s">
        <v>57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34" t="s">
        <v>58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34" t="s">
        <v>113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9.09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34" t="s">
        <v>114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7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34" t="s">
        <v>115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3.5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34" t="s">
        <v>116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7.778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34" t="s">
        <v>117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34" t="s">
        <v>118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11.25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34" t="s">
        <v>119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10.71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34" t="s">
        <v>120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20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34" t="s">
        <v>121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10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34" t="s">
        <v>122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10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6</v>
      </c>
      <c r="B37" s="32">
        <f>IF(E37=0,SUM(B2:B36)/35,W37/E37)</f>
        <v>28</v>
      </c>
      <c r="C37" s="32">
        <f>SUM(C2:C36)</f>
        <v>17237</v>
      </c>
      <c r="D37" s="32"/>
      <c r="E37" s="32">
        <f>SUM(E2:E36)</f>
        <v>40412</v>
      </c>
      <c r="F37" s="32"/>
      <c r="G37" s="94"/>
      <c r="H37" s="34">
        <f>E37/C37</f>
        <v>2.3444915008412135</v>
      </c>
      <c r="I37" s="95">
        <f t="shared" si="1"/>
        <v>82.01485971957425</v>
      </c>
      <c r="J37" s="96"/>
      <c r="K37" s="96"/>
      <c r="L37" s="32">
        <f>SUM(L2:L36)</f>
        <v>17236.999999999996</v>
      </c>
      <c r="M37" s="97"/>
      <c r="N37" s="26">
        <f>SUM(N2:N36)</f>
        <v>5800</v>
      </c>
      <c r="O37" s="39">
        <f>SUM(O2:O36)</f>
        <v>8385.586943856524</v>
      </c>
      <c r="P37" s="40"/>
      <c r="Q37" s="41">
        <f>SUM(P2:P36)</f>
        <v>3529.6048813854795</v>
      </c>
      <c r="R37" s="42">
        <f>SUM(R2:R36)</f>
        <v>16411.48612031167</v>
      </c>
      <c r="S37" s="43"/>
      <c r="T37" s="42">
        <f>SUM(T2:T36)</f>
        <v>530629.47</v>
      </c>
      <c r="U37" s="43"/>
      <c r="V37" s="43"/>
      <c r="W37" s="16">
        <f>SUM(W2:W36)</f>
        <v>1131536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2" sqref="G2:G36"/>
    </sheetView>
  </sheetViews>
  <sheetFormatPr defaultColWidth="11.421875" defaultRowHeight="12.75"/>
  <cols>
    <col min="1" max="1" width="19.57421875" style="93" customWidth="1"/>
    <col min="2" max="2" width="6.57421875" style="93" customWidth="1"/>
    <col min="3" max="3" width="6.7109375" style="93" bestFit="1" customWidth="1"/>
    <col min="4" max="4" width="7.00390625" style="93" bestFit="1" customWidth="1"/>
    <col min="5" max="5" width="7.8515625" style="93" bestFit="1" customWidth="1"/>
    <col min="6" max="6" width="7.00390625" style="93" bestFit="1" customWidth="1"/>
    <col min="7" max="7" width="7.140625" style="93" bestFit="1" customWidth="1"/>
    <col min="8" max="8" width="6.140625" style="93" bestFit="1" customWidth="1"/>
    <col min="9" max="9" width="8.140625" style="93" bestFit="1" customWidth="1"/>
    <col min="10" max="10" width="12.28125" style="93" bestFit="1" customWidth="1"/>
    <col min="11" max="11" width="6.140625" style="93" bestFit="1" customWidth="1"/>
    <col min="12" max="12" width="6.7109375" style="93" bestFit="1" customWidth="1"/>
    <col min="13" max="13" width="5.7109375" style="93" bestFit="1" customWidth="1"/>
    <col min="14" max="14" width="14.28125" style="93" bestFit="1" customWidth="1"/>
    <col min="15" max="22" width="13.57421875" style="93" bestFit="1" customWidth="1"/>
    <col min="23" max="23" width="12.57421875" style="93" customWidth="1"/>
    <col min="24" max="16384" width="11.421875" style="93" customWidth="1"/>
  </cols>
  <sheetData>
    <row r="1" spans="1:23" ht="27">
      <c r="A1" s="1" t="s">
        <v>12</v>
      </c>
      <c r="B1" s="91" t="s">
        <v>96</v>
      </c>
      <c r="C1" s="2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92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34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16.84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34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14.9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34" t="s">
        <v>2</v>
      </c>
      <c r="B4" s="30">
        <v>28</v>
      </c>
      <c r="C4" s="30">
        <v>4367</v>
      </c>
      <c r="D4" s="47">
        <f>C4/Hauptstelle!$E$50*100</f>
        <v>0.42120593951494284</v>
      </c>
      <c r="E4" s="30">
        <v>18768</v>
      </c>
      <c r="F4" s="47">
        <f>E4/Hauptstelle!$E$50*100</f>
        <v>1.8102113745858592</v>
      </c>
      <c r="G4" s="19">
        <v>11.21</v>
      </c>
      <c r="H4" s="20">
        <f t="shared" si="0"/>
        <v>4.297687199450424</v>
      </c>
      <c r="I4" s="21">
        <f t="shared" si="1"/>
        <v>67.03144066175017</v>
      </c>
      <c r="J4" s="22">
        <v>60</v>
      </c>
      <c r="K4" s="23">
        <f t="shared" si="10"/>
        <v>4.866666666666666</v>
      </c>
      <c r="L4" s="24">
        <f t="shared" si="2"/>
        <v>4526.671295261187</v>
      </c>
      <c r="M4" s="25">
        <f t="shared" si="3"/>
        <v>159.67129526118697</v>
      </c>
      <c r="N4" s="26">
        <f>ROUND(V4*Hauptstelle!$J$54,Hauptstelle!W51)</f>
        <v>1400</v>
      </c>
      <c r="O4" s="27">
        <f t="shared" si="4"/>
        <v>3856.438356164384</v>
      </c>
      <c r="P4" s="24">
        <f t="shared" si="5"/>
        <v>159.67129526118697</v>
      </c>
      <c r="Q4" s="24">
        <f>(P4*(1/Hauptstelle!$J$52))+((L4/100)*Hauptstelle!$J$53)</f>
        <v>242.30069428917804</v>
      </c>
      <c r="R4" s="28">
        <f t="shared" si="6"/>
        <v>2716.190782981686</v>
      </c>
      <c r="S4" s="29">
        <f>R4/Hauptstelle!$R$47</f>
        <v>0.012533148202337377</v>
      </c>
      <c r="T4" s="28">
        <f t="shared" si="7"/>
        <v>210389.28000000003</v>
      </c>
      <c r="U4" s="29">
        <f>T4/Hauptstelle!$T$47</f>
        <v>0.01616383580023986</v>
      </c>
      <c r="V4" s="29">
        <f t="shared" si="8"/>
        <v>0.014348492001288618</v>
      </c>
      <c r="W4" s="16">
        <f t="shared" si="9"/>
        <v>525504</v>
      </c>
    </row>
    <row r="5" spans="1:23" ht="9">
      <c r="A5" s="134" t="s">
        <v>112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13.61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34" t="s">
        <v>3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34" t="s">
        <v>41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19.4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34" t="s">
        <v>42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25.8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34" t="s">
        <v>43</v>
      </c>
      <c r="B9" s="30">
        <v>28</v>
      </c>
      <c r="C9" s="30">
        <v>839</v>
      </c>
      <c r="D9" s="47">
        <f>C9/Hauptstelle!$E$50*100</f>
        <v>0.08092323866568285</v>
      </c>
      <c r="E9" s="30">
        <v>4833</v>
      </c>
      <c r="F9" s="47">
        <f>E9/Hauptstelle!$E$50*100</f>
        <v>0.4661525774389097</v>
      </c>
      <c r="G9" s="19">
        <v>13.5</v>
      </c>
      <c r="H9" s="20">
        <f t="shared" si="0"/>
        <v>5.760429082240763</v>
      </c>
      <c r="I9" s="21">
        <f t="shared" si="1"/>
        <v>55.81040704034483</v>
      </c>
      <c r="J9" s="22">
        <v>47</v>
      </c>
      <c r="K9" s="23">
        <f t="shared" si="10"/>
        <v>6.448333333333333</v>
      </c>
      <c r="L9" s="24">
        <f t="shared" si="2"/>
        <v>879.7552787561852</v>
      </c>
      <c r="M9" s="25">
        <f t="shared" si="3"/>
        <v>40.75527875618525</v>
      </c>
      <c r="N9" s="26">
        <f>ROUND(V9*Hauptstelle!$J$54,Hauptstelle!W51)</f>
        <v>400</v>
      </c>
      <c r="O9" s="27">
        <f t="shared" si="4"/>
        <v>749.4959937968467</v>
      </c>
      <c r="P9" s="24">
        <f t="shared" si="5"/>
        <v>40.75527875618525</v>
      </c>
      <c r="Q9" s="24">
        <f>(P9*(1/Hauptstelle!$J$52))+((L9/100)*Hauptstelle!$J$53)</f>
        <v>48.06329181342779</v>
      </c>
      <c r="R9" s="28">
        <f t="shared" si="6"/>
        <v>648.8544394812751</v>
      </c>
      <c r="S9" s="29">
        <f>R9/Hauptstelle!$R$47</f>
        <v>0.0029939682082406214</v>
      </c>
      <c r="T9" s="28">
        <f t="shared" si="7"/>
        <v>65245.5</v>
      </c>
      <c r="U9" s="29">
        <f>T9/Hauptstelle!$T$47</f>
        <v>0.005012696220570503</v>
      </c>
      <c r="V9" s="29">
        <f t="shared" si="8"/>
        <v>0.004003332214405563</v>
      </c>
      <c r="W9" s="16">
        <f t="shared" si="9"/>
        <v>135324</v>
      </c>
    </row>
    <row r="10" spans="1:23" ht="9">
      <c r="A10" s="134" t="s">
        <v>44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13.95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34" t="s">
        <v>45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25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34" t="s">
        <v>46</v>
      </c>
      <c r="B12" s="30">
        <v>28</v>
      </c>
      <c r="C12" s="30">
        <v>1382</v>
      </c>
      <c r="D12" s="47">
        <f>C12/Hauptstelle!$E$50*100</f>
        <v>0.13329668156850263</v>
      </c>
      <c r="E12" s="30">
        <v>4823</v>
      </c>
      <c r="F12" s="47">
        <f>E12/Hauptstelle!$E$50*100</f>
        <v>0.4651880573117859</v>
      </c>
      <c r="G12" s="19">
        <v>9.45</v>
      </c>
      <c r="H12" s="20">
        <f t="shared" si="0"/>
        <v>3.4898697539797396</v>
      </c>
      <c r="I12" s="21">
        <f t="shared" si="1"/>
        <v>73.22839640782666</v>
      </c>
      <c r="J12" s="22">
        <v>47</v>
      </c>
      <c r="K12" s="23">
        <f t="shared" si="10"/>
        <v>6.448333333333333</v>
      </c>
      <c r="L12" s="24">
        <f t="shared" si="2"/>
        <v>877.9349698822846</v>
      </c>
      <c r="M12" s="25">
        <f t="shared" si="3"/>
        <v>-504.0650301177154</v>
      </c>
      <c r="N12" s="26">
        <f>ROUND(V12*Hauptstelle!$J$54,Hauptstelle!W51)</f>
        <v>300</v>
      </c>
      <c r="O12" s="27">
        <f t="shared" si="4"/>
        <v>747.945205479452</v>
      </c>
      <c r="P12" s="24">
        <f t="shared" si="5"/>
        <v>0</v>
      </c>
      <c r="Q12" s="24">
        <f>(P12*(1/Hauptstelle!$J$52))+((L12/100)*Hauptstelle!$J$53)</f>
        <v>43.896748494114235</v>
      </c>
      <c r="R12" s="28">
        <f t="shared" si="6"/>
        <v>414.8242732693795</v>
      </c>
      <c r="S12" s="29">
        <f>R12/Hauptstelle!$R$47</f>
        <v>0.0019140975396083166</v>
      </c>
      <c r="T12" s="28">
        <f t="shared" si="7"/>
        <v>45577.35</v>
      </c>
      <c r="U12" s="29">
        <f>T12/Hauptstelle!$T$47</f>
        <v>0.003501627086751102</v>
      </c>
      <c r="V12" s="29">
        <f t="shared" si="8"/>
        <v>0.0027078623131797093</v>
      </c>
      <c r="W12" s="16">
        <f t="shared" si="9"/>
        <v>135044</v>
      </c>
    </row>
    <row r="13" spans="1:23" ht="9">
      <c r="A13" s="134" t="s">
        <v>47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34" t="s">
        <v>48</v>
      </c>
      <c r="B14" s="30">
        <v>28</v>
      </c>
      <c r="C14" s="30">
        <v>172</v>
      </c>
      <c r="D14" s="47">
        <f>C14/Hauptstelle!$E$50*100</f>
        <v>0.016589746186528545</v>
      </c>
      <c r="E14" s="30">
        <v>578</v>
      </c>
      <c r="F14" s="47">
        <f>E14/Hauptstelle!$E$50*100</f>
        <v>0.0557492633477529</v>
      </c>
      <c r="G14" s="19">
        <v>15</v>
      </c>
      <c r="H14" s="20">
        <f t="shared" si="0"/>
        <v>3.36046511627907</v>
      </c>
      <c r="I14" s="21">
        <f t="shared" si="1"/>
        <v>74.22108951895508</v>
      </c>
      <c r="J14" s="22">
        <v>60</v>
      </c>
      <c r="K14" s="23">
        <f t="shared" si="10"/>
        <v>4.866666666666666</v>
      </c>
      <c r="L14" s="24">
        <f t="shared" si="2"/>
        <v>139.40835510768147</v>
      </c>
      <c r="M14" s="25">
        <f t="shared" si="3"/>
        <v>-32.59164489231853</v>
      </c>
      <c r="N14" s="26">
        <f>ROUND(V14*Hauptstelle!$J$54,Hauptstelle!W51)</f>
        <v>100</v>
      </c>
      <c r="O14" s="27">
        <f t="shared" si="4"/>
        <v>118.76712328767124</v>
      </c>
      <c r="P14" s="24">
        <f t="shared" si="5"/>
        <v>0</v>
      </c>
      <c r="Q14" s="24">
        <f>(P14*(1/Hauptstelle!$J$52))+((L14/100)*Hauptstelle!$J$53)</f>
        <v>6.970417755384074</v>
      </c>
      <c r="R14" s="28">
        <f t="shared" si="6"/>
        <v>104.5562663307611</v>
      </c>
      <c r="S14" s="29">
        <f>R14/Hauptstelle!$R$47</f>
        <v>0.00048244740009314806</v>
      </c>
      <c r="T14" s="28">
        <f t="shared" si="7"/>
        <v>8670</v>
      </c>
      <c r="U14" s="29">
        <f>T14/Hauptstelle!$T$47</f>
        <v>0.0006661007461410559</v>
      </c>
      <c r="V14" s="29">
        <f t="shared" si="8"/>
        <v>0.000574274073117102</v>
      </c>
      <c r="W14" s="16">
        <f t="shared" si="9"/>
        <v>16184</v>
      </c>
    </row>
    <row r="15" spans="1:23" ht="9">
      <c r="A15" s="134" t="s">
        <v>49</v>
      </c>
      <c r="B15" s="30">
        <v>7</v>
      </c>
      <c r="C15" s="30">
        <v>109</v>
      </c>
      <c r="D15" s="47">
        <f>C15/Hauptstelle!$E$50*100</f>
        <v>0.010513269385648906</v>
      </c>
      <c r="E15" s="30">
        <v>792</v>
      </c>
      <c r="F15" s="47">
        <f>E15/Hauptstelle!$E$50*100</f>
        <v>0.07638999406820121</v>
      </c>
      <c r="G15" s="19">
        <v>55</v>
      </c>
      <c r="H15" s="20">
        <f t="shared" si="0"/>
        <v>7.26605504587156</v>
      </c>
      <c r="I15" s="21">
        <f t="shared" si="1"/>
        <v>86.06509991202715</v>
      </c>
      <c r="J15" s="22">
        <v>35</v>
      </c>
      <c r="K15" s="23">
        <f t="shared" si="10"/>
        <v>7.908333333333333</v>
      </c>
      <c r="L15" s="24">
        <f t="shared" si="2"/>
        <v>117.5527466013135</v>
      </c>
      <c r="M15" s="25">
        <f t="shared" si="3"/>
        <v>8.552746601313501</v>
      </c>
      <c r="N15" s="26">
        <f>ROUND(V15*Hauptstelle!$J$54,Hauptstelle!W51)</f>
        <v>300</v>
      </c>
      <c r="O15" s="27">
        <f t="shared" si="4"/>
        <v>100.14752370916754</v>
      </c>
      <c r="P15" s="24">
        <f t="shared" si="5"/>
        <v>8.552746601313501</v>
      </c>
      <c r="Q15" s="24">
        <f>(P15*(1/Hauptstelle!$J$52))+((L15/100)*Hauptstelle!$J$53)</f>
        <v>6.7329119901970245</v>
      </c>
      <c r="R15" s="28">
        <f t="shared" si="6"/>
        <v>370.31015946083636</v>
      </c>
      <c r="S15" s="29">
        <f>R15/Hauptstelle!$R$47</f>
        <v>0.0017086988654968652</v>
      </c>
      <c r="T15" s="28">
        <f t="shared" si="7"/>
        <v>43560</v>
      </c>
      <c r="U15" s="29">
        <f>T15/Hauptstelle!$T$47</f>
        <v>0.0033466376588125028</v>
      </c>
      <c r="V15" s="29">
        <f t="shared" si="8"/>
        <v>0.002527668262154684</v>
      </c>
      <c r="W15" s="16">
        <f t="shared" si="9"/>
        <v>5544</v>
      </c>
    </row>
    <row r="16" spans="1:23" ht="9">
      <c r="A16" s="134" t="s">
        <v>50</v>
      </c>
      <c r="B16" s="30">
        <v>28</v>
      </c>
      <c r="C16" s="30">
        <v>345</v>
      </c>
      <c r="D16" s="47">
        <f>C16/Hauptstelle!$E$50*100</f>
        <v>0.033275944385769474</v>
      </c>
      <c r="E16" s="30">
        <v>1099</v>
      </c>
      <c r="F16" s="47">
        <f>E16/Hauptstelle!$E$50*100</f>
        <v>0.10600076197090043</v>
      </c>
      <c r="G16" s="19">
        <v>20.45</v>
      </c>
      <c r="H16" s="20">
        <f t="shared" si="0"/>
        <v>3.1855072463768117</v>
      </c>
      <c r="I16" s="21">
        <f t="shared" si="1"/>
        <v>75.56323208258884</v>
      </c>
      <c r="J16" s="22">
        <v>35</v>
      </c>
      <c r="K16" s="23">
        <f t="shared" si="10"/>
        <v>7.908333333333333</v>
      </c>
      <c r="L16" s="24">
        <f t="shared" si="2"/>
        <v>163.11927842783274</v>
      </c>
      <c r="M16" s="25">
        <f t="shared" si="3"/>
        <v>-181.88072157216726</v>
      </c>
      <c r="N16" s="26">
        <f>ROUND(V16*Hauptstelle!$J$54,Hauptstelle!W51)</f>
        <v>100</v>
      </c>
      <c r="O16" s="27">
        <f t="shared" si="4"/>
        <v>138.96733403582718</v>
      </c>
      <c r="P16" s="24">
        <f t="shared" si="5"/>
        <v>0</v>
      </c>
      <c r="Q16" s="24">
        <f>(P16*(1/Hauptstelle!$J$52))+((L16/100)*Hauptstelle!$J$53)</f>
        <v>8.155963921391637</v>
      </c>
      <c r="R16" s="28">
        <f t="shared" si="6"/>
        <v>166.78946219245896</v>
      </c>
      <c r="S16" s="29">
        <f>R16/Hauptstelle!$R$47</f>
        <v>0.0007696061194757133</v>
      </c>
      <c r="T16" s="28">
        <f t="shared" si="7"/>
        <v>22474.55</v>
      </c>
      <c r="U16" s="29">
        <f>T16/Hauptstelle!$T$47</f>
        <v>0.0017266798759151636</v>
      </c>
      <c r="V16" s="29">
        <f t="shared" si="8"/>
        <v>0.0012481429976954385</v>
      </c>
      <c r="W16" s="16">
        <f t="shared" si="9"/>
        <v>30772</v>
      </c>
    </row>
    <row r="17" spans="1:23" ht="9">
      <c r="A17" s="134" t="s">
        <v>4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34" t="s">
        <v>51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25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34" t="s">
        <v>53</v>
      </c>
      <c r="B19" s="30">
        <v>28</v>
      </c>
      <c r="C19" s="30">
        <v>94</v>
      </c>
      <c r="D19" s="47">
        <f>C19/Hauptstelle!$E$50*100</f>
        <v>0.009066489194963277</v>
      </c>
      <c r="E19" s="30">
        <v>1093</v>
      </c>
      <c r="F19" s="47">
        <f>E19/Hauptstelle!$E$50*100</f>
        <v>0.10542204989462617</v>
      </c>
      <c r="G19" s="19">
        <v>22</v>
      </c>
      <c r="H19" s="20">
        <f t="shared" si="0"/>
        <v>11.627659574468085</v>
      </c>
      <c r="I19" s="21">
        <f t="shared" si="1"/>
        <v>10.801515593121536</v>
      </c>
      <c r="J19" s="22">
        <v>44</v>
      </c>
      <c r="K19" s="23">
        <f t="shared" si="10"/>
        <v>6.8133333333333335</v>
      </c>
      <c r="L19" s="24">
        <f t="shared" si="2"/>
        <v>188.30120135034085</v>
      </c>
      <c r="M19" s="25">
        <f t="shared" si="3"/>
        <v>94.30120135034085</v>
      </c>
      <c r="N19" s="26">
        <f>ROUND(V19*Hauptstelle!$J$54,Hauptstelle!W51)</f>
        <v>200</v>
      </c>
      <c r="O19" s="27">
        <f t="shared" si="4"/>
        <v>160.4207436399217</v>
      </c>
      <c r="P19" s="24">
        <f t="shared" si="5"/>
        <v>94.30120135034085</v>
      </c>
      <c r="Q19" s="24">
        <f>(P19*(1/Hauptstelle!$J$52))+((L19/100)*Hauptstelle!$J$53)</f>
        <v>18.845180202551127</v>
      </c>
      <c r="R19" s="28">
        <f t="shared" si="6"/>
        <v>414.5939644561248</v>
      </c>
      <c r="S19" s="29">
        <f>R19/Hauptstelle!$R$47</f>
        <v>0.0019130348401444532</v>
      </c>
      <c r="T19" s="28">
        <f t="shared" si="7"/>
        <v>24046</v>
      </c>
      <c r="U19" s="29">
        <f>T19/Hauptstelle!$T$47</f>
        <v>0.0018474115965060936</v>
      </c>
      <c r="V19" s="29">
        <f t="shared" si="8"/>
        <v>0.0018802232183252735</v>
      </c>
      <c r="W19" s="16">
        <f t="shared" si="9"/>
        <v>30604</v>
      </c>
    </row>
    <row r="20" spans="1:23" ht="9">
      <c r="A20" s="134" t="s">
        <v>54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24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34" t="s">
        <v>52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21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34" t="s">
        <v>55</v>
      </c>
      <c r="B22" s="30">
        <v>28</v>
      </c>
      <c r="C22" s="30">
        <v>536</v>
      </c>
      <c r="D22" s="47">
        <f>C22/Hauptstelle!$E$50*100</f>
        <v>0.05169827881383314</v>
      </c>
      <c r="E22" s="30">
        <v>5334</v>
      </c>
      <c r="F22" s="47">
        <f>E22/Hauptstelle!$E$50*100</f>
        <v>0.5144750358078097</v>
      </c>
      <c r="G22" s="19">
        <v>13.5</v>
      </c>
      <c r="H22" s="20">
        <f t="shared" si="0"/>
        <v>9.951492537313433</v>
      </c>
      <c r="I22" s="21">
        <f t="shared" si="1"/>
        <v>23.659783275403797</v>
      </c>
      <c r="J22" s="22">
        <v>44</v>
      </c>
      <c r="K22" s="23">
        <f t="shared" si="10"/>
        <v>6.8133333333333335</v>
      </c>
      <c r="L22" s="24">
        <f t="shared" si="2"/>
        <v>918.9374272668967</v>
      </c>
      <c r="M22" s="25">
        <f t="shared" si="3"/>
        <v>382.93742726689675</v>
      </c>
      <c r="N22" s="26">
        <f>ROUND(V22*Hauptstelle!$J$54,Hauptstelle!W51)</f>
        <v>500</v>
      </c>
      <c r="O22" s="27">
        <f t="shared" si="4"/>
        <v>782.8767123287671</v>
      </c>
      <c r="P22" s="24">
        <f t="shared" si="5"/>
        <v>382.93742726689675</v>
      </c>
      <c r="Q22" s="24">
        <f>(P22*(1/Hauptstelle!$J$52))+((L22/100)*Hauptstelle!$J$53)</f>
        <v>84.24061409003451</v>
      </c>
      <c r="R22" s="28">
        <f t="shared" si="6"/>
        <v>1137.2482902154659</v>
      </c>
      <c r="S22" s="29">
        <f>R22/Hauptstelle!$R$47</f>
        <v>0.0052475332194739</v>
      </c>
      <c r="T22" s="28">
        <f t="shared" si="7"/>
        <v>72009</v>
      </c>
      <c r="U22" s="29">
        <f>T22/Hauptstelle!$T$47</f>
        <v>0.005532323947966701</v>
      </c>
      <c r="V22" s="29">
        <f t="shared" si="8"/>
        <v>0.005389928583720301</v>
      </c>
      <c r="W22" s="16">
        <f t="shared" si="9"/>
        <v>149352</v>
      </c>
    </row>
    <row r="23" spans="1:23" ht="9">
      <c r="A23" s="134" t="s">
        <v>56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18.9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34" t="s">
        <v>5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34" t="s">
        <v>57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34" t="s">
        <v>58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34" t="s">
        <v>113</v>
      </c>
      <c r="B27" s="30">
        <v>28</v>
      </c>
      <c r="C27" s="30">
        <v>839</v>
      </c>
      <c r="D27" s="47">
        <f>C27/Hauptstelle!$E$50*100</f>
        <v>0.08092323866568285</v>
      </c>
      <c r="E27" s="30">
        <v>6322</v>
      </c>
      <c r="F27" s="47">
        <f>E27/Hauptstelle!$E$50*100</f>
        <v>0.6097696243676365</v>
      </c>
      <c r="G27" s="19">
        <v>9.09</v>
      </c>
      <c r="H27" s="20">
        <f t="shared" si="0"/>
        <v>7.535160905840286</v>
      </c>
      <c r="I27" s="21">
        <f t="shared" si="1"/>
        <v>42.19602592780055</v>
      </c>
      <c r="J27" s="22">
        <v>30</v>
      </c>
      <c r="K27" s="23">
        <f t="shared" si="10"/>
        <v>8.516666666666667</v>
      </c>
      <c r="L27" s="24">
        <f t="shared" si="2"/>
        <v>871.3194473462797</v>
      </c>
      <c r="M27" s="25">
        <f t="shared" si="3"/>
        <v>32.31944734627973</v>
      </c>
      <c r="N27" s="26">
        <f>ROUND(V27*Hauptstelle!$J$54,Hauptstelle!W51)</f>
        <v>300</v>
      </c>
      <c r="O27" s="27">
        <f t="shared" si="4"/>
        <v>742.3091976516633</v>
      </c>
      <c r="P27" s="24">
        <f t="shared" si="5"/>
        <v>32.31944734627973</v>
      </c>
      <c r="Q27" s="24">
        <f>(P27*(1/Hauptstelle!$J$52))+((L27/100)*Hauptstelle!$J$53)</f>
        <v>46.79791710194196</v>
      </c>
      <c r="R27" s="28">
        <f t="shared" si="6"/>
        <v>425.39306645665243</v>
      </c>
      <c r="S27" s="29">
        <f>R27/Hauptstelle!$R$47</f>
        <v>0.001962864456927187</v>
      </c>
      <c r="T27" s="28">
        <f t="shared" si="7"/>
        <v>57466.979999999996</v>
      </c>
      <c r="U27" s="29">
        <f>T27/Hauptstelle!$T$47</f>
        <v>0.004415086304091481</v>
      </c>
      <c r="V27" s="29">
        <f t="shared" si="8"/>
        <v>0.003188975380509334</v>
      </c>
      <c r="W27" s="16">
        <f t="shared" si="9"/>
        <v>177016</v>
      </c>
    </row>
    <row r="28" spans="1:23" ht="9">
      <c r="A28" s="134" t="s">
        <v>114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7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34" t="s">
        <v>115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3.5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34" t="s">
        <v>116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7.778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34" t="s">
        <v>117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34" t="s">
        <v>118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11.25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34" t="s">
        <v>119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10.71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34" t="s">
        <v>120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20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34" t="s">
        <v>121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10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34" t="s">
        <v>122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10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6</v>
      </c>
      <c r="B37" s="32">
        <f>IF(E37=0,SUM(B2:B36)/35,W37/E37)</f>
        <v>27.618899225516703</v>
      </c>
      <c r="C37" s="32">
        <f>SUM(C2:C36)</f>
        <v>8683</v>
      </c>
      <c r="D37" s="32"/>
      <c r="E37" s="32">
        <f>SUM(E2:E36)</f>
        <v>43642</v>
      </c>
      <c r="F37" s="32"/>
      <c r="G37" s="94"/>
      <c r="H37" s="34">
        <f>E37/C37</f>
        <v>5.026143038120465</v>
      </c>
      <c r="I37" s="95">
        <f t="shared" si="1"/>
        <v>61.96807176359412</v>
      </c>
      <c r="J37" s="96"/>
      <c r="K37" s="96"/>
      <c r="L37" s="32">
        <f>SUM(L2:L36)</f>
        <v>8683.000000000002</v>
      </c>
      <c r="M37" s="97"/>
      <c r="N37" s="26">
        <f>SUM(N2:N36)</f>
        <v>3600</v>
      </c>
      <c r="O37" s="39">
        <f>SUM(O2:O36)</f>
        <v>7397.3681900937</v>
      </c>
      <c r="P37" s="40"/>
      <c r="Q37" s="41">
        <f>SUM(P2:P36)</f>
        <v>718.5373965822031</v>
      </c>
      <c r="R37" s="42">
        <f>SUM(R2:R36)</f>
        <v>6398.76070484464</v>
      </c>
      <c r="S37" s="43"/>
      <c r="T37" s="42">
        <f>SUM(T2:T36)</f>
        <v>549438.66</v>
      </c>
      <c r="U37" s="43"/>
      <c r="V37" s="43"/>
      <c r="W37" s="16">
        <f>SUM(W2:W36)</f>
        <v>1205344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2" sqref="G2:G36"/>
    </sheetView>
  </sheetViews>
  <sheetFormatPr defaultColWidth="11.421875" defaultRowHeight="12.75"/>
  <cols>
    <col min="1" max="1" width="19.28125" style="93" customWidth="1"/>
    <col min="2" max="2" width="6.281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6.8515625" style="93" bestFit="1" customWidth="1"/>
    <col min="13" max="13" width="8.140625" style="93" customWidth="1"/>
    <col min="14" max="14" width="14.28125" style="93" bestFit="1" customWidth="1"/>
    <col min="15" max="22" width="13.57421875" style="93" bestFit="1" customWidth="1"/>
    <col min="23" max="23" width="12.7109375" style="93" customWidth="1"/>
    <col min="24" max="16384" width="11.421875" style="93" customWidth="1"/>
  </cols>
  <sheetData>
    <row r="1" spans="1:23" ht="27">
      <c r="A1" s="1" t="s">
        <v>13</v>
      </c>
      <c r="B1" s="91" t="s">
        <v>96</v>
      </c>
      <c r="C1" s="2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92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34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16.84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34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14.9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34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11.21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34" t="s">
        <v>112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13.61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34" t="s">
        <v>3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34" t="s">
        <v>41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19.4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34" t="s">
        <v>42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25.8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34" t="s">
        <v>43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13.5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34" t="s">
        <v>44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13.95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34" t="s">
        <v>45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25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34" t="s">
        <v>46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9.45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34" t="s">
        <v>47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34" t="s">
        <v>48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34" t="s">
        <v>49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55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34" t="s">
        <v>50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34" t="s">
        <v>4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34" t="s">
        <v>51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25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34" t="s">
        <v>53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22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34" t="s">
        <v>54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24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34" t="s">
        <v>52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21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34" t="s">
        <v>55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13.5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34" t="s">
        <v>56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18.9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34" t="s">
        <v>5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34" t="s">
        <v>57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34" t="s">
        <v>58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34" t="s">
        <v>113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9.09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34" t="s">
        <v>114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7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34" t="s">
        <v>115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3.5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34" t="s">
        <v>116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7.778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34" t="s">
        <v>117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34" t="s">
        <v>118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11.25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34" t="s">
        <v>119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10.71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34" t="s">
        <v>120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20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34" t="s">
        <v>121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10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34" t="s">
        <v>122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10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6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 t="e">
        <f>R37/$R$37</f>
        <v>#DIV/0!</v>
      </c>
      <c r="T37" s="42">
        <f>SUM(T2:T36)</f>
        <v>0</v>
      </c>
      <c r="U37" s="43"/>
      <c r="V37" s="43"/>
      <c r="W37" s="16">
        <f>SUM(W2:W36)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2" sqref="G2:G36"/>
    </sheetView>
  </sheetViews>
  <sheetFormatPr defaultColWidth="11.421875" defaultRowHeight="12.75"/>
  <cols>
    <col min="1" max="1" width="19.421875" style="93" customWidth="1"/>
    <col min="2" max="2" width="6.003906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6.8515625" style="93" bestFit="1" customWidth="1"/>
    <col min="13" max="13" width="6.00390625" style="93" bestFit="1" customWidth="1"/>
    <col min="14" max="14" width="14.28125" style="93" bestFit="1" customWidth="1"/>
    <col min="15" max="22" width="13.57421875" style="93" bestFit="1" customWidth="1"/>
    <col min="23" max="23" width="13.00390625" style="93" customWidth="1"/>
    <col min="24" max="16384" width="11.421875" style="93" customWidth="1"/>
  </cols>
  <sheetData>
    <row r="1" spans="1:23" ht="27">
      <c r="A1" s="1" t="s">
        <v>14</v>
      </c>
      <c r="B1" s="91" t="s">
        <v>96</v>
      </c>
      <c r="C1" s="2" t="s">
        <v>39</v>
      </c>
      <c r="D1" s="4" t="s">
        <v>83</v>
      </c>
      <c r="E1" s="3" t="s">
        <v>7</v>
      </c>
      <c r="F1" s="4" t="s">
        <v>83</v>
      </c>
      <c r="G1" s="5" t="s">
        <v>66</v>
      </c>
      <c r="H1" s="6" t="s">
        <v>80</v>
      </c>
      <c r="I1" s="7" t="s">
        <v>78</v>
      </c>
      <c r="J1" s="7" t="s">
        <v>79</v>
      </c>
      <c r="K1" s="7" t="s">
        <v>81</v>
      </c>
      <c r="L1" s="8" t="s">
        <v>82</v>
      </c>
      <c r="M1" s="9" t="s">
        <v>123</v>
      </c>
      <c r="N1" s="92" t="s">
        <v>76</v>
      </c>
      <c r="O1" s="11" t="s">
        <v>68</v>
      </c>
      <c r="P1" s="12" t="s">
        <v>69</v>
      </c>
      <c r="Q1" s="12" t="s">
        <v>70</v>
      </c>
      <c r="R1" s="13" t="s">
        <v>71</v>
      </c>
      <c r="S1" s="14" t="s">
        <v>72</v>
      </c>
      <c r="T1" s="13" t="s">
        <v>73</v>
      </c>
      <c r="U1" s="14" t="s">
        <v>74</v>
      </c>
      <c r="V1" s="14" t="s">
        <v>75</v>
      </c>
      <c r="W1" s="15" t="s">
        <v>97</v>
      </c>
    </row>
    <row r="2" spans="1:23" ht="9">
      <c r="A2" s="134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16.84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34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14.9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34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11.21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34" t="s">
        <v>112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13.61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34" t="s">
        <v>3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34" t="s">
        <v>41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19.4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34" t="s">
        <v>42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25.8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34" t="s">
        <v>43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13.5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34" t="s">
        <v>44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13.95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34" t="s">
        <v>45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25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34" t="s">
        <v>46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9.45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34" t="s">
        <v>47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34" t="s">
        <v>48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34" t="s">
        <v>49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55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34" t="s">
        <v>50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34" t="s">
        <v>4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34" t="s">
        <v>51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25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34" t="s">
        <v>53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22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34" t="s">
        <v>54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24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34" t="s">
        <v>52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21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34" t="s">
        <v>55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13.5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34" t="s">
        <v>56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18.9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34" t="s">
        <v>5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34" t="s">
        <v>57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34" t="s">
        <v>58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34" t="s">
        <v>113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9.09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34" t="s">
        <v>114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7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34" t="s">
        <v>115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3.5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34" t="s">
        <v>116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7.778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34" t="s">
        <v>117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34" t="s">
        <v>118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11.25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34" t="s">
        <v>119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10.71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34" t="s">
        <v>120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20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34" t="s">
        <v>121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10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34" t="s">
        <v>122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10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6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2002-04-14T17:38:56Z</cp:lastPrinted>
  <dcterms:created xsi:type="dcterms:W3CDTF">2002-03-16T14:05:04Z</dcterms:created>
  <dcterms:modified xsi:type="dcterms:W3CDTF">2011-02-09T20:31:52Z</dcterms:modified>
  <cp:category/>
  <cp:version/>
  <cp:contentType/>
  <cp:contentStatus/>
</cp:coreProperties>
</file>